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Y4S1\1. GEs and FIN\FIN4720\"/>
    </mc:Choice>
  </mc:AlternateContent>
  <xr:revisionPtr revIDLastSave="0" documentId="13_ncr:1_{BCE9379A-68FE-4097-8399-E38B17D10FBB}" xr6:coauthVersionLast="47" xr6:coauthVersionMax="47" xr10:uidLastSave="{00000000-0000-0000-0000-000000000000}"/>
  <bookViews>
    <workbookView xWindow="28680" yWindow="-120" windowWidth="29040" windowHeight="15720" firstSheet="1" activeTab="2" xr2:uid="{C978C03A-62EA-7745-896E-E6728094FCA9}"/>
  </bookViews>
  <sheets>
    <sheet name="Cover Sheet" sheetId="6" state="hidden" r:id="rId1"/>
    <sheet name="Financial Proxies" sheetId="10" r:id="rId2"/>
    <sheet name="Benefits, Costs, Inv" sheetId="7" r:id="rId3"/>
    <sheet name="Project Input" sheetId="9" r:id="rId4"/>
    <sheet name="SROI" sheetId="16" r:id="rId5"/>
    <sheet name="Energy" sheetId="1" state="hidden" r:id="rId6"/>
    <sheet name="Greenery" sheetId="2" state="hidden" r:id="rId7"/>
    <sheet name="Public Space" sheetId="3" state="hidden" r:id="rId8"/>
    <sheet name="Mobility" sheetId="4" state="hidden" r:id="rId9"/>
    <sheet name="Water" sheetId="5" state="hidden" r:id="rId10"/>
    <sheet name="Scenario" sheetId="17" r:id="rId11"/>
    <sheet name="Sensitivity" sheetId="19" r:id="rId12"/>
    <sheet name="Table 1" sheetId="11" r:id="rId13"/>
    <sheet name="Table 2" sheetId="12" r:id="rId14"/>
    <sheet name="Table 3" sheetId="13" r:id="rId15"/>
    <sheet name="Table 4" sheetId="15" r:id="rId16"/>
    <sheet name="References" sheetId="14" r:id="rId17"/>
    <sheet name="Charts" sheetId="22" state="hidden" r:id="rId18"/>
    <sheet name="Check benefits" sheetId="18" state="hidden" r:id="rId19"/>
  </sheets>
  <externalReferences>
    <externalReference r:id="rId20"/>
    <externalReference r:id="rId21"/>
  </externalReferences>
  <definedNames>
    <definedName name="_xlnm._FilterDatabase" localSheetId="2" hidden="1">'Benefits, Costs, Inv'!$B$3:$Q$132</definedName>
    <definedName name="BAMK_AREA">'Table 4'!$C$39</definedName>
    <definedName name="BAMK_AREA_GREENERY">'Table 4'!$C$40</definedName>
    <definedName name="BAMK_TIME_SPENT">'Table 4'!$C$41</definedName>
    <definedName name="BAMK_VISITS">'Table 4'!$C$42</definedName>
    <definedName name="base_cost_property_construction">'[1]Project Input'!$C$32</definedName>
    <definedName name="CARBON_OP_TAX_2024_TO_2025">'Table 4'!#REF!</definedName>
    <definedName name="CARBON_OP_TAX_2026_TO_2027">'Table 4'!#REF!</definedName>
    <definedName name="CARBON_OP_TAX_2028_2030_MAX">'Table 4'!#REF!</definedName>
    <definedName name="CARBON_OP_TAX_2028_2030_MIN">'Table 4'!#REF!</definedName>
    <definedName name="CARBON_OP_TAX_TO_2023">'Table 4'!#REF!</definedName>
    <definedName name="catchment_area">'[1]Project Input'!$C$46</definedName>
    <definedName name="CATCHMENT_COST_PER_AREA">'Table 4'!$C$18</definedName>
    <definedName name="CIQWBGuid" hidden="1">"9fd0f861-cdc2-4bbd-8737-3b5d9f75db3b"</definedName>
    <definedName name="cost_emmp_implementation">'[1]Project Input'!#REF!</definedName>
    <definedName name="COST_GM_GOLD_MARGINAL_PCT">'Table 4'!$C$10</definedName>
    <definedName name="cost_of_capital">'[1]Project Input'!$C$11</definedName>
    <definedName name="cost_property_maintenance">'[1]Project Input'!#REF!</definedName>
    <definedName name="cost_rand">'[1]Building IROI'!$Z$5</definedName>
    <definedName name="cost_retrofit_major">'[1]Project Input'!#REF!</definedName>
    <definedName name="cost_retrofit_minor">'[1]Project Input'!#REF!</definedName>
    <definedName name="cost_site_assessment">'[1]Project Input'!#REF!</definedName>
    <definedName name="DECREASED_HRS_SICK_LEAVE_IMPROVED_LIGHTING">'Table 4'!$C$48</definedName>
    <definedName name="DECREASED_HRS_SICK_LEAVE_IMPROVED_VIEWS">'Table 4'!$C$49</definedName>
    <definedName name="demand_rand">'[1]Building IROI'!$Z$4</definedName>
    <definedName name="EC_GM_BENCHMARK_IND">'Table 4'!$C$58</definedName>
    <definedName name="EC_GM_BENCHMARK_NONRES">'Table 4'!$C$56</definedName>
    <definedName name="EC_GM_BENCHMARK_RES">'Table 4'!$C$57</definedName>
    <definedName name="EC_LOW_COST_COST_PREMIUM">'Table 4'!$C$63</definedName>
    <definedName name="EC_LOW_COST_REDUCTION_KG_PER_M2">'Table 4'!$C$62</definedName>
    <definedName name="EC_LOW_COST_REDUCTION_MAX">'Table 4'!$C$61</definedName>
    <definedName name="ec_low_cost_reduction_pct">'[1]Project Input'!$C$6</definedName>
    <definedName name="EC_NO_COST_REDUCTION_KG_PER_M2">'Table 4'!$C$60</definedName>
    <definedName name="EC_NO_COST_REDUCTION_MAX">'Table 4'!$C$59</definedName>
    <definedName name="ec_no_cost_reduction_pct">'[1]Project Input'!$C$5</definedName>
    <definedName name="ELEC_TARIFF_GROWTH_5YR">'Table 4'!$C$32</definedName>
    <definedName name="ELECTRICITY_COST_PER_KWH">'Table 4'!$C$31</definedName>
    <definedName name="electricity_delta_demand_bestprac">'[1]Project Input'!$C$56</definedName>
    <definedName name="ELECTRICITY_TARIFF_COV">'Table 4'!$C$65</definedName>
    <definedName name="electricty_delta_demand_retrofit">'[1]Project Input'!#REF!</definedName>
    <definedName name="embodied_carbon_actual">'[1]Project Input'!$C$68</definedName>
    <definedName name="embodied_carbon_benchmark">'[1]Project Input'!$C$67</definedName>
    <definedName name="embodied_carbon_tax">'[1]Project Input'!$C$9</definedName>
    <definedName name="embodied_carbon_tax_savings">'[1]Benefits &amp; Costs, Once &amp; Yearly'!#REF!</definedName>
    <definedName name="energy_cost_inflation_rate">'[1]Project Input'!$C$62</definedName>
    <definedName name="energy_cost_volatility">'[1]Project Input'!$C$63</definedName>
    <definedName name="energy_demand_volatility">'[1]Project Input'!$C$64</definedName>
    <definedName name="energy_reference_cost_yearly">'[1]Benefits &amp; Costs, Once &amp; Yearly'!$L$5</definedName>
    <definedName name="energy_savings_pv_yearly">'[1]Benefits &amp; Costs, Once &amp; Yearly'!$L$13</definedName>
    <definedName name="energy_savings_yearly_bestprac">'[1]Benefits &amp; Costs, Once &amp; Yearly'!$L$12</definedName>
    <definedName name="energy_use_pa">'[1]Project Input'!$C$54</definedName>
    <definedName name="ess_number_units">'[1]Project Input'!#REF!</definedName>
    <definedName name="ess_power_capacity">'[1]Project Input'!#REF!</definedName>
    <definedName name="footprint_as_pct_property">'[1]Project Input'!$C$23</definedName>
    <definedName name="GDP_GROWTH_RATE">'Table 4'!#REF!</definedName>
    <definedName name="gfa_office_leasing">'[1]Project Input'!$C$30</definedName>
    <definedName name="gfa_total">'[1]Project Input'!$C$21</definedName>
    <definedName name="green_area_as_pct_property">'[1]Project Input'!$C$7</definedName>
    <definedName name="greenmark_cert_year0_cost">'[1]Benefits &amp; Costs, Once &amp; Yearly'!$L$2</definedName>
    <definedName name="greenmark_cert_yearly_benefit">'[1]Benefits &amp; Costs, Once &amp; Yearly'!$L$11</definedName>
    <definedName name="greywater_electricty_pa">'[1]Project Input'!#REF!</definedName>
    <definedName name="greywater_installation_year1_cost">'[1]Benefits &amp; Costs, Once &amp; Yearly'!$L$6</definedName>
    <definedName name="greywater_maintenance_yearly_cost">'[1]Benefits &amp; Costs, Once &amp; Yearly'!$L$7</definedName>
    <definedName name="GREYWATER_OP_COST_ELEC">'Table 4'!$C$17</definedName>
    <definedName name="GREYWATER_TREATMENT_COST">'Table 4'!$C$14</definedName>
    <definedName name="GREYWATER_TREATMENT_INSTALLATION_COST">'Table 4'!$C$15</definedName>
    <definedName name="GREYWATER_TREATMENT_MAINT_COST">'Table 4'!$C$16</definedName>
    <definedName name="greywater_yearly_benefit">'[1]Benefits &amp; Costs, Once &amp; Yearly'!#REF!</definedName>
    <definedName name="GRID_EMISSION_FACTOR_2021">'Table 4'!$C$64</definedName>
    <definedName name="INFLATION_RATE">'Table 4'!$C$3</definedName>
    <definedName name="integrated_value">'[1]Building IROI'!$AA$52</definedName>
    <definedName name="interest_rate_green">'[1]Project Input'!#REF!</definedName>
    <definedName name="interest_rate_normal">'[1]Project Input'!#REF!</definedName>
    <definedName name="iroi">'[1]Building IROI'!$AA$55</definedName>
    <definedName name="LEASING_RATE_MONTHLY_OFFICE_PSM">'Table 4'!$C$6</definedName>
    <definedName name="LEASING_RATE_MONTHLY_RETAIL_PSM">'Table 4'!#REF!</definedName>
    <definedName name="loan_rate_discount">'[1]Project Input'!$C$12</definedName>
    <definedName name="MEDIAN_HOURLY_SALARY">'Table 4'!$C$25</definedName>
    <definedName name="MEDIAN_SALARY">'Table 4'!$C$44</definedName>
    <definedName name="net_water_use">'[1]Project Input'!$C$45</definedName>
    <definedName name="occupants_number">'[1]Project Input'!$C$36</definedName>
    <definedName name="occupants_pct_active">'[1]Project Input'!#REF!</definedName>
    <definedName name="office_rental_price_per_area">'[1]Project Input'!$C$31</definedName>
    <definedName name="op_carbon_tax_increment">'[1]Project Input'!$C$10</definedName>
    <definedName name="operational_carbon_reduction">'[1]Project Input'!#REF!</definedName>
    <definedName name="pct_cost_glazing">'[1]Project Input'!#REF!</definedName>
    <definedName name="PCT_DEC_IN_UNHAPPY_PEOPLE_PER_PCT_INC_IN_GREEN">'Table 4'!$C$28</definedName>
    <definedName name="pct_energy_red_bestprac">'[1]Project Input'!$C$4</definedName>
    <definedName name="pct_gfa_office_leasing">'[1]Project Input'!$C$29</definedName>
    <definedName name="pct_nonpotable_from_greywater">'[1]Project Input'!$C$43</definedName>
    <definedName name="pct_nonpotable_from_rainwater">'[1]Project Input'!$C$44</definedName>
    <definedName name="PCT_POPULATION_MENTAL_HEALTH_SYMPTOMS">'Table 4'!$C$26</definedName>
    <definedName name="pct_roof_with_garden">'[1]Project Input'!$C$3</definedName>
    <definedName name="pct_roof_with_pv">'[1]Project Input'!$C$2</definedName>
    <definedName name="pct_water_use_nonpotable">'[1]Project Input'!$C$41</definedName>
    <definedName name="POP_SG">'Table 4'!$C$43</definedName>
    <definedName name="property_area">'[1]Project Input'!$C$22</definedName>
    <definedName name="property_price">'[1]Project Input'!#REF!</definedName>
    <definedName name="public_space_as_pct_property">'[1]Project Input'!$C$8</definedName>
    <definedName name="public_space_users">'[1]Project Input'!$C$37</definedName>
    <definedName name="public_space_yearly_benefit">'[1]Benefits &amp; Costs, Once &amp; Yearly'!$L$15</definedName>
    <definedName name="PV_COST_INSTALLATION_INDUSTRIAL_BUILDING">'Table 4'!$C$33</definedName>
    <definedName name="PV_COST_INSTALLATION_RES_BUILDING">'Table 4'!$C$35</definedName>
    <definedName name="PV_COST_MAINT_INDUSTRIAL_BUILDING">'Table 4'!$C$34</definedName>
    <definedName name="PV_COST_MAINT_RES_BUILDING">'Table 4'!$C$36</definedName>
    <definedName name="pv_deterioration_rate">'[1]Project Input'!$C$59</definedName>
    <definedName name="pv_electricity_supplied_pa">'[1]Project Input'!$C$57</definedName>
    <definedName name="pv_greywater">'[1]Building IROI'!#REF!</definedName>
    <definedName name="pv_installation_cost_ind_year0">'[1]Benefits &amp; Costs, Once &amp; Yearly'!$L$3</definedName>
    <definedName name="pv_installed_capacity">'[1]Project Input'!$C$58</definedName>
    <definedName name="pv_maint_ind_yearly_cost">'[1]Benefits &amp; Costs, Once &amp; Yearly'!$L$4</definedName>
    <definedName name="PV_PEAK_POWER_PER_AREA">'Table 4'!$C$52</definedName>
    <definedName name="pv_rainwater">'[1]Building IROI'!#REF!</definedName>
    <definedName name="PV_YEARLY_ENERGY_INTENSITY">'Table 4'!$C$53</definedName>
    <definedName name="RAINWATER_CATCHEMENT_MAINT_COST">'Table 4'!$C$21</definedName>
    <definedName name="rainwater_catchment_year0_cost">'[1]Benefits &amp; Costs, Once &amp; Yearly'!$L$8</definedName>
    <definedName name="rainwater_maintenance_yearly_cost">'[1]Benefits &amp; Costs, Once &amp; Yearly'!$L$10</definedName>
    <definedName name="RAINWATER_OP_COST_ELEC">'Table 4'!$C$22</definedName>
    <definedName name="rainwater_storage_capacity">'[1]Project Input'!$C$47</definedName>
    <definedName name="RAINWATER_STORAGE_COMMERCIAL_COST_CONSTR">'Table 4'!$C$19</definedName>
    <definedName name="RAINWATER_STORAGE_DOMESTIC_COST_CONSTR">'Table 4'!$C$20</definedName>
    <definedName name="rainwater_tank_year0_cost">'[1]Benefits &amp; Costs, Once &amp; Yearly'!$L$9</definedName>
    <definedName name="rainwater_yearly_benefit">'[1]Benefits &amp; Costs, Once &amp; Yearly'!#REF!</definedName>
    <definedName name="reference_energy_use_intensity_pa">'[1]Project Input'!$C$53</definedName>
    <definedName name="reference_energy_use_pa">'[1]Project Input'!$C$52</definedName>
    <definedName name="RENTAL_PREMIUM_GM_GOLDPLAT">'Table 4'!$C$9</definedName>
    <definedName name="roof_area">'[1]Project Input'!$C$25</definedName>
    <definedName name="SAVINGS_FROM_IMPROVED_MENTAL_HEALTH">'Table 4'!$C$27</definedName>
    <definedName name="sens_cost_of_capital">'[1]Project Input'!$P$11</definedName>
    <definedName name="sens_ec_low_cost_reduction_pct">'[1]Project Input'!$P$6</definedName>
    <definedName name="sens_ec_no_cost_reduction_pct">'[1]Project Input'!$P$5</definedName>
    <definedName name="sens_embodied_carbon_tax">'[1]Project Input'!$P$9</definedName>
    <definedName name="sens_green_area_as_pct_property">'[1]Project Input'!$P$7</definedName>
    <definedName name="sens_loan_rate">'[1]Project Input'!$P$12</definedName>
    <definedName name="sens_op_carbon_tax_increment">'[1]Project Input'!$P$10</definedName>
    <definedName name="sens_pct_energy_red_bestprac">'[1]Project Input'!$P$4</definedName>
    <definedName name="sens_pct_roof_with_pv">'[1]Project Input'!$P$2</definedName>
    <definedName name="sens_public_space_as_pct_property">'[1]Project Input'!$P$8</definedName>
    <definedName name="sens1">'[1]Sensitivity Analysis'!$B$5</definedName>
    <definedName name="sens10">'[1]Sensitivity Analysis'!$B$14</definedName>
    <definedName name="sens2">'[1]Sensitivity Analysis'!$B$6</definedName>
    <definedName name="sens3">'[1]Sensitivity Analysis'!$B$7</definedName>
    <definedName name="sens4">'[1]Sensitivity Analysis'!$B$8</definedName>
    <definedName name="sens5">'[1]Sensitivity Analysis'!$B$9</definedName>
    <definedName name="sens6">'[1]Sensitivity Analysis'!$B$10</definedName>
    <definedName name="sens7">'[1]Sensitivity Analysis'!$B$11</definedName>
    <definedName name="sens8">'[1]Sensitivity Analysis'!$B$12</definedName>
    <definedName name="sens9">'[1]Sensitivity Analysis'!$B$13</definedName>
    <definedName name="SOCIAL_COST_CO2_RENNERT">'Table 4'!#REF!</definedName>
    <definedName name="SOCIAL_COST_OF_CO2_GILLINGHAM">'Table 4'!#REF!</definedName>
    <definedName name="total_cost_property_construction">'[1]Project Input'!$C$33</definedName>
    <definedName name="total_investment">'[1]Building IROI'!$AA$53</definedName>
    <definedName name="total_water_use_pa">'[1]Project Input'!$C$40</definedName>
    <definedName name="use_scenario">'[1]Scenario Analysis'!$B$3</definedName>
    <definedName name="VALUE_OF_TIME_AS_PCT_OF_SALARY">'Table 4'!$C$45</definedName>
    <definedName name="veg_prod_kg_pa">'[1]Project Input'!$C$74</definedName>
    <definedName name="veg_value_per_kg">'Table 4'!$C$66</definedName>
    <definedName name="wall_to_floor_ratio">'[1]Project Input'!#REF!</definedName>
    <definedName name="WATER_PRICE">'Table 4'!$C$13</definedName>
    <definedName name="WATER_USE_LG_BUILDING_AVG">'Table 4'!$C$54</definedName>
    <definedName name="water_use_nonpotable">'[1]Project Input'!$C$42</definedName>
    <definedName name="yearly_mental_health_greenery_benefit">'[1]Benefits &amp; Costs, Once &amp; Yearly'!$L$14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1" i="10" l="1"/>
  <c r="B22" i="22"/>
  <c r="C24" i="22"/>
  <c r="C20" i="22"/>
  <c r="C97" i="10"/>
  <c r="C98" i="10"/>
  <c r="B4" i="22"/>
  <c r="B5" i="22"/>
  <c r="K42" i="7"/>
  <c r="N37" i="7"/>
  <c r="C72" i="10"/>
  <c r="L38" i="7"/>
  <c r="C23" i="10" l="1"/>
  <c r="G11" i="19" l="1"/>
  <c r="G10" i="19"/>
  <c r="G9" i="19"/>
  <c r="G8" i="19"/>
  <c r="G7" i="19"/>
  <c r="G6" i="19"/>
  <c r="G5" i="19"/>
  <c r="B11" i="17"/>
  <c r="B70" i="9" s="1"/>
  <c r="P39" i="7" s="1"/>
  <c r="B10" i="17"/>
  <c r="B75" i="9" s="1"/>
  <c r="M42" i="7"/>
  <c r="B47" i="9"/>
  <c r="B48" i="9" s="1"/>
  <c r="L42" i="7" s="1"/>
  <c r="J42" i="7"/>
  <c r="B23" i="1"/>
  <c r="B20" i="10"/>
  <c r="E20" i="10"/>
  <c r="B21" i="10"/>
  <c r="E21" i="10"/>
  <c r="D146" i="11"/>
  <c r="D144" i="11"/>
  <c r="B44" i="9"/>
  <c r="P18" i="7" s="1"/>
  <c r="E5" i="1"/>
  <c r="E9" i="1" s="1"/>
  <c r="C19" i="1"/>
  <c r="E8" i="1" s="1"/>
  <c r="C29" i="10"/>
  <c r="D59" i="11"/>
  <c r="B43" i="9"/>
  <c r="E24" i="18" a="1"/>
  <c r="E24" i="18" s="1"/>
  <c r="D24" i="18" a="1"/>
  <c r="D24" i="18" s="1"/>
  <c r="C24" i="18" a="1"/>
  <c r="C24" i="18" s="1"/>
  <c r="B24" i="18" a="1"/>
  <c r="B24" i="18" s="1"/>
  <c r="A24" i="18" a="1"/>
  <c r="A24" i="18" s="1"/>
  <c r="E23" i="18" a="1"/>
  <c r="E23" i="18" s="1"/>
  <c r="D23" i="18" a="1"/>
  <c r="D23" i="18" s="1"/>
  <c r="C23" i="18" a="1"/>
  <c r="C23" i="18" s="1"/>
  <c r="B23" i="18" a="1"/>
  <c r="B23" i="18" s="1"/>
  <c r="A23" i="18" a="1"/>
  <c r="A23" i="18" s="1"/>
  <c r="E22" i="18" a="1"/>
  <c r="E22" i="18" s="1"/>
  <c r="D22" i="18" a="1"/>
  <c r="D22" i="18" s="1"/>
  <c r="C22" i="18" a="1"/>
  <c r="C22" i="18" s="1"/>
  <c r="B22" i="18" a="1"/>
  <c r="B22" i="18" s="1"/>
  <c r="A22" i="18" a="1"/>
  <c r="A22" i="18" s="1"/>
  <c r="D21" i="18" a="1"/>
  <c r="D21" i="18" s="1"/>
  <c r="C21" i="18" a="1"/>
  <c r="C21" i="18" s="1"/>
  <c r="B21" i="18" a="1"/>
  <c r="B21" i="18" s="1"/>
  <c r="A21" i="18" a="1"/>
  <c r="A21" i="18" s="1"/>
  <c r="D20" i="18" a="1"/>
  <c r="D20" i="18" s="1"/>
  <c r="C20" i="18" a="1"/>
  <c r="C20" i="18" s="1"/>
  <c r="B20" i="18" a="1"/>
  <c r="B20" i="18" s="1"/>
  <c r="A20" i="18" a="1"/>
  <c r="A20" i="18" s="1"/>
  <c r="D19" i="18" a="1"/>
  <c r="D19" i="18" s="1"/>
  <c r="C19" i="18" a="1"/>
  <c r="C19" i="18" s="1"/>
  <c r="B19" i="18" a="1"/>
  <c r="B19" i="18" s="1"/>
  <c r="A19" i="18" a="1"/>
  <c r="A19" i="18" s="1"/>
  <c r="D18" i="18" a="1"/>
  <c r="D18" i="18" s="1"/>
  <c r="C18" i="18" a="1"/>
  <c r="C18" i="18" s="1"/>
  <c r="B18" i="18" a="1"/>
  <c r="B18" i="18" s="1"/>
  <c r="A18" i="18" a="1"/>
  <c r="A18" i="18" s="1"/>
  <c r="D17" i="18" a="1"/>
  <c r="D17" i="18" s="1"/>
  <c r="C17" i="18" a="1"/>
  <c r="C17" i="18" s="1"/>
  <c r="B17" i="18" a="1"/>
  <c r="B17" i="18" s="1"/>
  <c r="A17" i="18" a="1"/>
  <c r="A17" i="18" s="1"/>
  <c r="D16" i="18" a="1"/>
  <c r="D16" i="18" s="1"/>
  <c r="C16" i="18" a="1"/>
  <c r="C16" i="18" s="1"/>
  <c r="B16" i="18" a="1"/>
  <c r="B16" i="18" s="1"/>
  <c r="A16" i="18" a="1"/>
  <c r="A16" i="18" s="1"/>
  <c r="D15" i="18" a="1"/>
  <c r="D15" i="18" s="1"/>
  <c r="C15" i="18" a="1"/>
  <c r="C15" i="18" s="1"/>
  <c r="B15" i="18" a="1"/>
  <c r="B15" i="18" s="1"/>
  <c r="A15" i="18" a="1"/>
  <c r="A15" i="18" s="1"/>
  <c r="D14" i="18" a="1"/>
  <c r="D14" i="18" s="1"/>
  <c r="C14" i="18" a="1"/>
  <c r="C14" i="18" s="1"/>
  <c r="B14" i="18" a="1"/>
  <c r="B14" i="18" s="1"/>
  <c r="A14" i="18" a="1"/>
  <c r="A14" i="18" s="1"/>
  <c r="D13" i="18" a="1"/>
  <c r="D13" i="18" s="1"/>
  <c r="C13" i="18" a="1"/>
  <c r="C13" i="18" s="1"/>
  <c r="B13" i="18" a="1"/>
  <c r="B13" i="18" s="1"/>
  <c r="A13" i="18" a="1"/>
  <c r="A13" i="18" s="1"/>
  <c r="D12" i="18" a="1"/>
  <c r="D12" i="18" s="1"/>
  <c r="C12" i="18" a="1"/>
  <c r="C12" i="18" s="1"/>
  <c r="B12" i="18" a="1"/>
  <c r="B12" i="18" s="1"/>
  <c r="A12" i="18" a="1"/>
  <c r="A12" i="18" s="1"/>
  <c r="D11" i="18" a="1"/>
  <c r="D11" i="18" s="1"/>
  <c r="C11" i="18" a="1"/>
  <c r="C11" i="18" s="1"/>
  <c r="B11" i="18" a="1"/>
  <c r="B11" i="18" s="1"/>
  <c r="A11" i="18" a="1"/>
  <c r="A11" i="18" s="1"/>
  <c r="D10" i="18" a="1"/>
  <c r="D10" i="18" s="1"/>
  <c r="C10" i="18" a="1"/>
  <c r="C10" i="18" s="1"/>
  <c r="B10" i="18" a="1"/>
  <c r="B10" i="18" s="1"/>
  <c r="A10" i="18" a="1"/>
  <c r="A10" i="18" s="1"/>
  <c r="D9" i="18" a="1"/>
  <c r="D9" i="18" s="1"/>
  <c r="C9" i="18" a="1"/>
  <c r="C9" i="18" s="1"/>
  <c r="B9" i="18" a="1"/>
  <c r="B9" i="18" s="1"/>
  <c r="A9" i="18" a="1"/>
  <c r="A9" i="18" s="1"/>
  <c r="D8" i="18" a="1"/>
  <c r="D8" i="18" s="1"/>
  <c r="C8" i="18" a="1"/>
  <c r="C8" i="18" s="1"/>
  <c r="B8" i="18" a="1"/>
  <c r="B8" i="18" s="1"/>
  <c r="A8" i="18" a="1"/>
  <c r="A8" i="18" s="1"/>
  <c r="D7" i="18" a="1"/>
  <c r="D7" i="18" s="1"/>
  <c r="C7" i="18" a="1"/>
  <c r="C7" i="18" s="1"/>
  <c r="B7" i="18" a="1"/>
  <c r="B7" i="18" s="1"/>
  <c r="A7" i="18" a="1"/>
  <c r="A7" i="18" s="1"/>
  <c r="D6" i="18" a="1"/>
  <c r="D6" i="18" s="1"/>
  <c r="C6" i="18" a="1"/>
  <c r="C6" i="18" s="1"/>
  <c r="B6" i="18" a="1"/>
  <c r="B6" i="18" s="1"/>
  <c r="A6" i="18" a="1"/>
  <c r="A6" i="18" s="1"/>
  <c r="D5" i="18" a="1"/>
  <c r="D5" i="18" s="1"/>
  <c r="C5" i="18" a="1"/>
  <c r="C5" i="18" s="1"/>
  <c r="B5" i="18" a="1"/>
  <c r="B5" i="18" s="1"/>
  <c r="A5" i="18" a="1"/>
  <c r="A5" i="18" s="1"/>
  <c r="D4" i="18" a="1"/>
  <c r="D4" i="18" s="1"/>
  <c r="C4" i="18" a="1"/>
  <c r="C4" i="18" s="1"/>
  <c r="B4" i="18" a="1"/>
  <c r="B4" i="18" s="1"/>
  <c r="A4" i="18" a="1"/>
  <c r="A4" i="18" s="1"/>
  <c r="D3" i="18" a="1"/>
  <c r="D3" i="18" s="1"/>
  <c r="C3" i="18" a="1"/>
  <c r="C3" i="18" s="1"/>
  <c r="B3" i="18" a="1"/>
  <c r="B3" i="18" s="1"/>
  <c r="A3" i="18" a="1"/>
  <c r="A3" i="18" s="1"/>
  <c r="B29" i="9"/>
  <c r="B34" i="9" s="1"/>
  <c r="C17" i="10"/>
  <c r="C16" i="10"/>
  <c r="D2" i="18" a="1"/>
  <c r="D2" i="18" s="1"/>
  <c r="C2" i="18" a="1"/>
  <c r="C2" i="18" s="1"/>
  <c r="B2" i="18" a="1"/>
  <c r="B2" i="18" s="1"/>
  <c r="A2" i="18" a="1"/>
  <c r="A2" i="18" s="1"/>
  <c r="L26" i="7"/>
  <c r="J26" i="7"/>
  <c r="C73" i="10"/>
  <c r="N26" i="7" s="1"/>
  <c r="P4" i="7"/>
  <c r="B16" i="9"/>
  <c r="K26" i="7" s="1"/>
  <c r="J36" i="7"/>
  <c r="B27" i="9"/>
  <c r="B32" i="9" s="1"/>
  <c r="P11" i="7" s="1"/>
  <c r="C100" i="10"/>
  <c r="N34" i="7"/>
  <c r="L34" i="7"/>
  <c r="B9" i="17"/>
  <c r="B39" i="9" s="1"/>
  <c r="B8" i="17"/>
  <c r="B64" i="9" s="1"/>
  <c r="B7" i="17"/>
  <c r="B68" i="9" s="1"/>
  <c r="B6" i="17"/>
  <c r="B73" i="9" s="1"/>
  <c r="B5" i="17"/>
  <c r="B9" i="9" s="1"/>
  <c r="B57" i="9"/>
  <c r="E3" i="16"/>
  <c r="B28" i="9"/>
  <c r="B33" i="9" s="1"/>
  <c r="L33" i="7"/>
  <c r="J38" i="7"/>
  <c r="N38" i="7"/>
  <c r="M38" i="7"/>
  <c r="M37" i="7"/>
  <c r="K38" i="7"/>
  <c r="K37" i="7"/>
  <c r="I38" i="7"/>
  <c r="I37" i="7"/>
  <c r="J37" i="7"/>
  <c r="C94" i="10"/>
  <c r="J33" i="7" s="1"/>
  <c r="C62" i="10"/>
  <c r="K35" i="7" s="1"/>
  <c r="C63" i="10"/>
  <c r="O36" i="7" s="1"/>
  <c r="I36" i="7"/>
  <c r="C68" i="10"/>
  <c r="K36" i="7" s="1"/>
  <c r="C67" i="10"/>
  <c r="L36" i="7" s="1"/>
  <c r="C61" i="10"/>
  <c r="J35" i="7" s="1"/>
  <c r="M35" i="7"/>
  <c r="C64" i="10"/>
  <c r="L35" i="7" s="1"/>
  <c r="M34" i="7"/>
  <c r="C91" i="10"/>
  <c r="J34" i="7" s="1"/>
  <c r="B7" i="9"/>
  <c r="B5" i="9" s="1"/>
  <c r="B6" i="9"/>
  <c r="I34" i="7"/>
  <c r="I35" i="7"/>
  <c r="I33" i="7"/>
  <c r="P13" i="7" l="1"/>
  <c r="P10" i="7"/>
  <c r="P12" i="7"/>
  <c r="N36" i="7"/>
  <c r="I42" i="7"/>
  <c r="J40" i="7"/>
  <c r="M26" i="7"/>
  <c r="J9" i="18" a="1"/>
  <c r="J9" i="18" s="1"/>
  <c r="J11" i="18" a="1"/>
  <c r="J11" i="18" s="1"/>
  <c r="J7" i="18" a="1"/>
  <c r="J7" i="18" s="1"/>
  <c r="J10" i="18" a="1"/>
  <c r="J10" i="18" s="1"/>
  <c r="J8" i="18" a="1"/>
  <c r="J8" i="18" s="1"/>
  <c r="G3" i="18" a="1"/>
  <c r="G3" i="18" s="1"/>
  <c r="M36" i="7"/>
  <c r="P38" i="7"/>
  <c r="P35" i="7"/>
  <c r="B12" i="9"/>
  <c r="L37" i="7"/>
  <c r="P37" i="7" s="1"/>
  <c r="E20" i="18" s="1" a="1"/>
  <c r="E20" i="18" s="1"/>
  <c r="B13" i="9"/>
  <c r="M33" i="7"/>
  <c r="C60" i="10"/>
  <c r="P29" i="7" s="1"/>
  <c r="C59" i="10"/>
  <c r="P16" i="7"/>
  <c r="C30" i="10"/>
  <c r="J32" i="7" s="1"/>
  <c r="C31" i="10"/>
  <c r="P31" i="7"/>
  <c r="C33" i="10"/>
  <c r="C32" i="10" s="1"/>
  <c r="C34" i="10"/>
  <c r="I32" i="7" s="1"/>
  <c r="E2" i="16"/>
  <c r="E1" i="16"/>
  <c r="C86" i="10"/>
  <c r="P30" i="7" s="1"/>
  <c r="C85" i="10"/>
  <c r="C82" i="10"/>
  <c r="C81" i="10"/>
  <c r="D44" i="10"/>
  <c r="E44" i="10"/>
  <c r="D43" i="10"/>
  <c r="E43" i="10"/>
  <c r="D42" i="10"/>
  <c r="E42" i="10"/>
  <c r="D56" i="10"/>
  <c r="E56" i="10"/>
  <c r="C56" i="10"/>
  <c r="I21" i="7" s="1"/>
  <c r="E48" i="10"/>
  <c r="D48" i="10"/>
  <c r="C48" i="10"/>
  <c r="J22" i="7" s="1"/>
  <c r="C47" i="10"/>
  <c r="J21" i="7" s="1"/>
  <c r="C44" i="10"/>
  <c r="I24" i="7" s="1"/>
  <c r="C43" i="10"/>
  <c r="I25" i="7" s="1"/>
  <c r="C42" i="10"/>
  <c r="I23" i="7" s="1"/>
  <c r="C45" i="10"/>
  <c r="C7" i="10"/>
  <c r="C6" i="10"/>
  <c r="M27" i="7"/>
  <c r="K27" i="7"/>
  <c r="I26" i="7"/>
  <c r="K25" i="7"/>
  <c r="J24" i="7"/>
  <c r="K23" i="7"/>
  <c r="J23" i="7"/>
  <c r="C39" i="10"/>
  <c r="K22" i="7"/>
  <c r="C38" i="10"/>
  <c r="C37" i="10"/>
  <c r="P9" i="7"/>
  <c r="C28" i="10"/>
  <c r="P8" i="7" s="1"/>
  <c r="I22" i="7"/>
  <c r="L21" i="7"/>
  <c r="K21" i="7"/>
  <c r="J20" i="7"/>
  <c r="I20" i="7"/>
  <c r="P5" i="7"/>
  <c r="E2" i="18" s="1" a="1"/>
  <c r="E2" i="18" s="1"/>
  <c r="C55" i="10"/>
  <c r="C54" i="10"/>
  <c r="C60" i="15"/>
  <c r="C62" i="15"/>
  <c r="C66" i="15"/>
  <c r="C48" i="15"/>
  <c r="C49" i="15"/>
  <c r="C52" i="15"/>
  <c r="C53" i="15"/>
  <c r="C54" i="15"/>
  <c r="C25" i="15"/>
  <c r="C28" i="15"/>
  <c r="C14" i="15"/>
  <c r="C15" i="15"/>
  <c r="C16" i="15"/>
  <c r="C17" i="15"/>
  <c r="C19" i="15"/>
  <c r="C20" i="15"/>
  <c r="C6" i="15"/>
  <c r="C53" i="10"/>
  <c r="I27" i="7" s="1"/>
  <c r="C12" i="10"/>
  <c r="J25" i="7" s="1"/>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D22" i="12"/>
  <c r="D20" i="12"/>
  <c r="D19" i="12"/>
  <c r="D17" i="12"/>
  <c r="D16" i="12"/>
  <c r="D14" i="12"/>
  <c r="D13" i="12"/>
  <c r="D10" i="12"/>
  <c r="D8" i="12"/>
  <c r="D7" i="12"/>
  <c r="D6" i="12"/>
  <c r="D5" i="12"/>
  <c r="D2" i="12"/>
  <c r="D180" i="11"/>
  <c r="D177" i="11"/>
  <c r="D176" i="11"/>
  <c r="D166" i="11"/>
  <c r="D161" i="11"/>
  <c r="D160" i="11"/>
  <c r="D159" i="11"/>
  <c r="D158" i="11"/>
  <c r="D157" i="11"/>
  <c r="D156" i="11"/>
  <c r="D155" i="11"/>
  <c r="D154" i="11"/>
  <c r="D153" i="11"/>
  <c r="D145" i="11"/>
  <c r="D140" i="11"/>
  <c r="D135" i="11"/>
  <c r="D133" i="11"/>
  <c r="D126" i="11"/>
  <c r="D125" i="11"/>
  <c r="D23" i="12" s="1"/>
  <c r="D122" i="11"/>
  <c r="D120" i="11"/>
  <c r="D119" i="11"/>
  <c r="D115" i="11"/>
  <c r="D114" i="11"/>
  <c r="D112" i="11"/>
  <c r="D109" i="11"/>
  <c r="D107" i="11"/>
  <c r="D104" i="11"/>
  <c r="D100" i="11"/>
  <c r="D98" i="11"/>
  <c r="D92" i="11"/>
  <c r="D12" i="12" s="1"/>
  <c r="D88" i="11"/>
  <c r="D87" i="11"/>
  <c r="D84" i="11"/>
  <c r="D9" i="12" s="1"/>
  <c r="D82" i="11"/>
  <c r="D81" i="11"/>
  <c r="D77" i="11"/>
  <c r="D75" i="11"/>
  <c r="D74" i="11"/>
  <c r="D73" i="11"/>
  <c r="D72" i="11"/>
  <c r="D71" i="11"/>
  <c r="D70" i="11"/>
  <c r="D69" i="11"/>
  <c r="D67" i="11"/>
  <c r="D65" i="11"/>
  <c r="D66" i="11" s="1"/>
  <c r="D63" i="11"/>
  <c r="D62" i="11"/>
  <c r="D60" i="11"/>
  <c r="D58" i="11"/>
  <c r="D54" i="11"/>
  <c r="D53" i="11"/>
  <c r="D48" i="11"/>
  <c r="D44" i="11"/>
  <c r="D40" i="11"/>
  <c r="D39" i="11"/>
  <c r="D38" i="11"/>
  <c r="D32" i="11"/>
  <c r="D37" i="11" s="1"/>
  <c r="D31" i="11"/>
  <c r="D27" i="11"/>
  <c r="D26" i="11"/>
  <c r="D20" i="11"/>
  <c r="D12" i="11"/>
  <c r="D8" i="11"/>
  <c r="D21" i="12" s="1"/>
  <c r="D7" i="11"/>
  <c r="P26" i="7" l="1"/>
  <c r="B24" i="22"/>
  <c r="P28" i="7"/>
  <c r="F86" i="16" s="1"/>
  <c r="P42" i="7"/>
  <c r="F72" i="16" s="1"/>
  <c r="E72" i="16" s="1"/>
  <c r="I42" i="16"/>
  <c r="J42" i="16" s="1"/>
  <c r="K42" i="16" s="1"/>
  <c r="L42" i="16" s="1"/>
  <c r="M42" i="16" s="1"/>
  <c r="N42" i="16" s="1"/>
  <c r="O42" i="16" s="1"/>
  <c r="P42" i="16" s="1"/>
  <c r="Q42" i="16" s="1"/>
  <c r="R42" i="16" s="1"/>
  <c r="S42" i="16" s="1"/>
  <c r="T42" i="16" s="1"/>
  <c r="U42" i="16" s="1"/>
  <c r="V42" i="16" s="1"/>
  <c r="W42" i="16" s="1"/>
  <c r="X42" i="16" s="1"/>
  <c r="Y42" i="16" s="1"/>
  <c r="Z42" i="16" s="1"/>
  <c r="AA42" i="16" s="1"/>
  <c r="AB42" i="16" s="1"/>
  <c r="AC42" i="16" s="1"/>
  <c r="AD42" i="16" s="1"/>
  <c r="AE42" i="16" s="1"/>
  <c r="AF42" i="16" s="1"/>
  <c r="AG42" i="16" s="1"/>
  <c r="AH42" i="16" s="1"/>
  <c r="AI42" i="16" s="1"/>
  <c r="AJ42" i="16" s="1"/>
  <c r="AK42" i="16" s="1"/>
  <c r="P36" i="7"/>
  <c r="B21" i="22" s="1"/>
  <c r="F70" i="16"/>
  <c r="E3" i="18" a="1"/>
  <c r="E3" i="18" s="1"/>
  <c r="E32" i="16"/>
  <c r="E33" i="16"/>
  <c r="E35" i="16"/>
  <c r="E36" i="16"/>
  <c r="C20" i="10"/>
  <c r="C18" i="10"/>
  <c r="C21" i="10"/>
  <c r="I41" i="7" s="1"/>
  <c r="P41" i="7" s="1"/>
  <c r="C22" i="10"/>
  <c r="I40" i="7" s="1"/>
  <c r="P40" i="7" s="1"/>
  <c r="F71" i="16" s="1"/>
  <c r="E71" i="16" s="1"/>
  <c r="E21" i="18" a="1"/>
  <c r="E21" i="18" s="1"/>
  <c r="E19" i="18" a="1"/>
  <c r="E19" i="18" s="1"/>
  <c r="P22" i="7"/>
  <c r="E10" i="18" s="1" a="1"/>
  <c r="E10" i="18" s="1"/>
  <c r="K11" i="18" s="1" a="1"/>
  <c r="P25" i="7"/>
  <c r="E12" i="18" s="1" a="1"/>
  <c r="E12" i="18" s="1"/>
  <c r="C57" i="10"/>
  <c r="J27" i="7" s="1"/>
  <c r="P21" i="7"/>
  <c r="P23" i="7"/>
  <c r="E75" i="16"/>
  <c r="E56" i="16"/>
  <c r="E48" i="16"/>
  <c r="E40" i="16"/>
  <c r="E26" i="16"/>
  <c r="E66" i="16"/>
  <c r="E82" i="16"/>
  <c r="E39" i="16"/>
  <c r="E25" i="16"/>
  <c r="E81" i="16"/>
  <c r="E38" i="16"/>
  <c r="E24" i="16"/>
  <c r="E67" i="16"/>
  <c r="E61" i="16"/>
  <c r="E53" i="16"/>
  <c r="E45" i="16"/>
  <c r="E27" i="16"/>
  <c r="E60" i="16"/>
  <c r="E49" i="16"/>
  <c r="E18" i="16"/>
  <c r="E76" i="16"/>
  <c r="E41" i="16"/>
  <c r="E85" i="16"/>
  <c r="E19" i="16"/>
  <c r="E84" i="16"/>
  <c r="E73" i="16"/>
  <c r="E74" i="16"/>
  <c r="E55" i="16"/>
  <c r="E54" i="16"/>
  <c r="E44" i="16"/>
  <c r="I47" i="16"/>
  <c r="J47" i="16" s="1"/>
  <c r="K47" i="16" s="1"/>
  <c r="L47" i="16" s="1"/>
  <c r="M47" i="16" s="1"/>
  <c r="N47" i="16" s="1"/>
  <c r="O47" i="16" s="1"/>
  <c r="P47" i="16" s="1"/>
  <c r="Q47" i="16" s="1"/>
  <c r="R47" i="16" s="1"/>
  <c r="S47" i="16" s="1"/>
  <c r="T47" i="16" s="1"/>
  <c r="U47" i="16" s="1"/>
  <c r="V47" i="16" s="1"/>
  <c r="W47" i="16" s="1"/>
  <c r="X47" i="16" s="1"/>
  <c r="Y47" i="16" s="1"/>
  <c r="Z47" i="16" s="1"/>
  <c r="AA47" i="16" s="1"/>
  <c r="AB47" i="16" s="1"/>
  <c r="AC47" i="16" s="1"/>
  <c r="AD47" i="16" s="1"/>
  <c r="AE47" i="16" s="1"/>
  <c r="AF47" i="16" s="1"/>
  <c r="AG47" i="16" s="1"/>
  <c r="AH47" i="16" s="1"/>
  <c r="AI47" i="16" s="1"/>
  <c r="AJ47" i="16" s="1"/>
  <c r="AK47" i="16" s="1"/>
  <c r="C89" i="10"/>
  <c r="K34" i="7" s="1"/>
  <c r="P34" i="7" s="1"/>
  <c r="K33" i="7"/>
  <c r="P33" i="7" s="1"/>
  <c r="P32" i="7"/>
  <c r="P14" i="7"/>
  <c r="F68" i="16" s="1"/>
  <c r="P7" i="7"/>
  <c r="I34" i="16" s="1"/>
  <c r="F48" i="22" s="1"/>
  <c r="L27" i="7"/>
  <c r="P24" i="7"/>
  <c r="C46" i="10"/>
  <c r="K20" i="7" s="1"/>
  <c r="E8" i="18" s="1" a="1"/>
  <c r="E8" i="18" s="1"/>
  <c r="K9" i="18" s="1" a="1"/>
  <c r="D127" i="11"/>
  <c r="D18" i="12"/>
  <c r="E15" i="18" l="1" a="1"/>
  <c r="E15" i="18" s="1"/>
  <c r="C22" i="22"/>
  <c r="E11" i="18" a="1"/>
  <c r="E11" i="18" s="1"/>
  <c r="B23" i="22"/>
  <c r="E6" i="18" a="1"/>
  <c r="E6" i="18" s="1"/>
  <c r="P20" i="7"/>
  <c r="C23" i="22" s="1"/>
  <c r="J34" i="16"/>
  <c r="K34" i="16" s="1"/>
  <c r="L34" i="16" s="1"/>
  <c r="M34" i="16" s="1"/>
  <c r="N34" i="16" s="1"/>
  <c r="O34" i="16" s="1"/>
  <c r="P34" i="16" s="1"/>
  <c r="Q34" i="16" s="1"/>
  <c r="R34" i="16" s="1"/>
  <c r="S34" i="16" s="1"/>
  <c r="T34" i="16" s="1"/>
  <c r="U34" i="16" s="1"/>
  <c r="V34" i="16" s="1"/>
  <c r="W34" i="16" s="1"/>
  <c r="X34" i="16" s="1"/>
  <c r="Y34" i="16" s="1"/>
  <c r="Z34" i="16" s="1"/>
  <c r="AA34" i="16" s="1"/>
  <c r="AB34" i="16" s="1"/>
  <c r="AC34" i="16" s="1"/>
  <c r="AD34" i="16" s="1"/>
  <c r="AE34" i="16" s="1"/>
  <c r="AF34" i="16" s="1"/>
  <c r="AG34" i="16" s="1"/>
  <c r="AH34" i="16" s="1"/>
  <c r="AI34" i="16" s="1"/>
  <c r="AJ34" i="16" s="1"/>
  <c r="AK34" i="16" s="1"/>
  <c r="G65" i="16"/>
  <c r="F23" i="16"/>
  <c r="F69" i="16"/>
  <c r="I31" i="16"/>
  <c r="J31" i="16" s="1"/>
  <c r="K31" i="16" s="1"/>
  <c r="L31" i="16" s="1"/>
  <c r="M31" i="16" s="1"/>
  <c r="N31" i="16" s="1"/>
  <c r="O31" i="16" s="1"/>
  <c r="P31" i="16" s="1"/>
  <c r="Q31" i="16" s="1"/>
  <c r="R31" i="16" s="1"/>
  <c r="S31" i="16" s="1"/>
  <c r="T31" i="16" s="1"/>
  <c r="U31" i="16" s="1"/>
  <c r="V31" i="16" s="1"/>
  <c r="W31" i="16" s="1"/>
  <c r="X31" i="16" s="1"/>
  <c r="Y31" i="16" s="1"/>
  <c r="Z31" i="16" s="1"/>
  <c r="AA31" i="16" s="1"/>
  <c r="AB31" i="16" s="1"/>
  <c r="AC31" i="16" s="1"/>
  <c r="AD31" i="16" s="1"/>
  <c r="AE31" i="16" s="1"/>
  <c r="AF31" i="16" s="1"/>
  <c r="AG31" i="16" s="1"/>
  <c r="AH31" i="16" s="1"/>
  <c r="AI31" i="16" s="1"/>
  <c r="AJ31" i="16" s="1"/>
  <c r="AK31" i="16" s="1"/>
  <c r="K79" i="16"/>
  <c r="L79" i="16" s="1"/>
  <c r="M79" i="16" s="1"/>
  <c r="N79" i="16" s="1"/>
  <c r="O79" i="16" s="1"/>
  <c r="P79" i="16" s="1"/>
  <c r="Q79" i="16" s="1"/>
  <c r="R79" i="16" s="1"/>
  <c r="S79" i="16" s="1"/>
  <c r="T79" i="16" s="1"/>
  <c r="U79" i="16" s="1"/>
  <c r="V79" i="16" s="1"/>
  <c r="W79" i="16" s="1"/>
  <c r="X79" i="16" s="1"/>
  <c r="Y79" i="16" s="1"/>
  <c r="Z79" i="16" s="1"/>
  <c r="AA79" i="16" s="1"/>
  <c r="AB79" i="16" s="1"/>
  <c r="AC79" i="16" s="1"/>
  <c r="AD79" i="16" s="1"/>
  <c r="AE79" i="16" s="1"/>
  <c r="AF79" i="16" s="1"/>
  <c r="AG79" i="16" s="1"/>
  <c r="AH79" i="16" s="1"/>
  <c r="AI79" i="16" s="1"/>
  <c r="AJ79" i="16" s="1"/>
  <c r="AK79" i="16" s="1"/>
  <c r="E9" i="18" a="1"/>
  <c r="E9" i="18" s="1"/>
  <c r="E18" i="18" a="1"/>
  <c r="E18" i="18" s="1"/>
  <c r="E17" i="18" a="1"/>
  <c r="E17" i="18" s="1"/>
  <c r="E16" i="18" a="1"/>
  <c r="E16" i="18" s="1"/>
  <c r="I43" i="16"/>
  <c r="J43" i="16" s="1"/>
  <c r="K43" i="16" s="1"/>
  <c r="L43" i="16" s="1"/>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F37" i="16"/>
  <c r="K10" i="18" a="1"/>
  <c r="K6" i="18" a="1"/>
  <c r="K4" i="18" a="1"/>
  <c r="P27" i="7"/>
  <c r="E47" i="16"/>
  <c r="E42" i="16"/>
  <c r="I15" i="16"/>
  <c r="I20" i="16"/>
  <c r="F49" i="22" s="1"/>
  <c r="I16" i="16"/>
  <c r="I17" i="16"/>
  <c r="I28" i="16"/>
  <c r="I29" i="16"/>
  <c r="P6" i="7"/>
  <c r="I30" i="16" s="1"/>
  <c r="F50" i="16"/>
  <c r="C19" i="10"/>
  <c r="P15" i="7" s="1"/>
  <c r="K80" i="16" s="1"/>
  <c r="L80" i="16" s="1"/>
  <c r="M80" i="16" s="1"/>
  <c r="N80" i="16" s="1"/>
  <c r="O80" i="16" s="1"/>
  <c r="P80" i="16" s="1"/>
  <c r="Q80" i="16" s="1"/>
  <c r="R80" i="16" s="1"/>
  <c r="S80" i="16" s="1"/>
  <c r="T80" i="16" s="1"/>
  <c r="U80" i="16" s="1"/>
  <c r="V80" i="16" s="1"/>
  <c r="W80" i="16" s="1"/>
  <c r="X80" i="16" s="1"/>
  <c r="Y80" i="16" s="1"/>
  <c r="Z80" i="16" s="1"/>
  <c r="AA80" i="16" s="1"/>
  <c r="AB80" i="16" s="1"/>
  <c r="AC80" i="16" s="1"/>
  <c r="AD80" i="16" s="1"/>
  <c r="AE80" i="16" s="1"/>
  <c r="AF80" i="16" s="1"/>
  <c r="AG80" i="16" s="1"/>
  <c r="AH80" i="16" s="1"/>
  <c r="AI80" i="16" s="1"/>
  <c r="AJ80" i="16" s="1"/>
  <c r="AK80" i="16" s="1"/>
  <c r="P19" i="7"/>
  <c r="E7" i="18" s="1" a="1"/>
  <c r="E7" i="18" s="1"/>
  <c r="P17" i="7"/>
  <c r="H65" i="16" l="1"/>
  <c r="I65" i="16" s="1"/>
  <c r="J65" i="16" s="1"/>
  <c r="K65" i="16" s="1"/>
  <c r="L65" i="16" s="1"/>
  <c r="M65" i="16" s="1"/>
  <c r="N65" i="16" s="1"/>
  <c r="O65" i="16" s="1"/>
  <c r="P65" i="16" s="1"/>
  <c r="Q65" i="16" s="1"/>
  <c r="R65" i="16" s="1"/>
  <c r="S65" i="16" s="1"/>
  <c r="T65" i="16" s="1"/>
  <c r="U65" i="16" s="1"/>
  <c r="V65" i="16" s="1"/>
  <c r="W65" i="16" s="1"/>
  <c r="X65" i="16" s="1"/>
  <c r="Y65" i="16" s="1"/>
  <c r="Z65" i="16" s="1"/>
  <c r="AA65" i="16" s="1"/>
  <c r="AB65" i="16" s="1"/>
  <c r="AC65" i="16" s="1"/>
  <c r="AD65" i="16" s="1"/>
  <c r="AE65" i="16" s="1"/>
  <c r="AF65" i="16" s="1"/>
  <c r="AG65" i="16" s="1"/>
  <c r="AH65" i="16" s="1"/>
  <c r="AI65" i="16" s="1"/>
  <c r="AJ65" i="16" s="1"/>
  <c r="E14" i="18" a="1"/>
  <c r="E14" i="18" s="1"/>
  <c r="H7" i="18" s="1"/>
  <c r="C21" i="22"/>
  <c r="E4" i="18" a="1"/>
  <c r="E4" i="18" s="1"/>
  <c r="B20" i="22"/>
  <c r="E31" i="16"/>
  <c r="E79" i="16"/>
  <c r="E34" i="16"/>
  <c r="C11" i="22" s="1"/>
  <c r="J30" i="16"/>
  <c r="K30" i="16" s="1"/>
  <c r="L30" i="16" s="1"/>
  <c r="M30" i="16" s="1"/>
  <c r="N30" i="16" s="1"/>
  <c r="O30" i="16" s="1"/>
  <c r="P30" i="16" s="1"/>
  <c r="Q30" i="16" s="1"/>
  <c r="R30" i="16" s="1"/>
  <c r="S30" i="16" s="1"/>
  <c r="T30" i="16" s="1"/>
  <c r="U30" i="16" s="1"/>
  <c r="V30" i="16" s="1"/>
  <c r="W30" i="16" s="1"/>
  <c r="X30" i="16" s="1"/>
  <c r="Y30" i="16" s="1"/>
  <c r="Z30" i="16" s="1"/>
  <c r="AA30" i="16" s="1"/>
  <c r="AB30" i="16" s="1"/>
  <c r="AC30" i="16" s="1"/>
  <c r="AD30" i="16" s="1"/>
  <c r="AE30" i="16" s="1"/>
  <c r="AF30" i="16" s="1"/>
  <c r="AG30" i="16" s="1"/>
  <c r="AH30" i="16" s="1"/>
  <c r="AI30" i="16" s="1"/>
  <c r="AJ30" i="16" s="1"/>
  <c r="AK30" i="16" s="1"/>
  <c r="E80" i="16"/>
  <c r="G23" i="16"/>
  <c r="H23" i="16" s="1"/>
  <c r="K5" i="18" a="1"/>
  <c r="E13" i="18" a="1"/>
  <c r="E13" i="18" s="1"/>
  <c r="H3" i="18" s="1"/>
  <c r="K77" i="16"/>
  <c r="L77" i="16" s="1"/>
  <c r="M77" i="16" s="1"/>
  <c r="N77" i="16" s="1"/>
  <c r="O77" i="16" s="1"/>
  <c r="P77" i="16" s="1"/>
  <c r="Q77" i="16" s="1"/>
  <c r="R77" i="16" s="1"/>
  <c r="S77" i="16" s="1"/>
  <c r="T77" i="16" s="1"/>
  <c r="U77" i="16" s="1"/>
  <c r="V77" i="16" s="1"/>
  <c r="W77" i="16" s="1"/>
  <c r="X77" i="16" s="1"/>
  <c r="Y77" i="16" s="1"/>
  <c r="Z77" i="16" s="1"/>
  <c r="AA77" i="16" s="1"/>
  <c r="AB77" i="16" s="1"/>
  <c r="AC77" i="16" s="1"/>
  <c r="AD77" i="16" s="1"/>
  <c r="AE77" i="16" s="1"/>
  <c r="AF77" i="16" s="1"/>
  <c r="AG77" i="16" s="1"/>
  <c r="AH77" i="16" s="1"/>
  <c r="AI77" i="16" s="1"/>
  <c r="AJ77" i="16" s="1"/>
  <c r="AK77" i="16" s="1"/>
  <c r="J20" i="16"/>
  <c r="K20" i="16" s="1"/>
  <c r="L20" i="16" s="1"/>
  <c r="M20" i="16" s="1"/>
  <c r="N20" i="16" s="1"/>
  <c r="O20" i="16" s="1"/>
  <c r="P20" i="16" s="1"/>
  <c r="Q20" i="16" s="1"/>
  <c r="R20" i="16" s="1"/>
  <c r="S20" i="16" s="1"/>
  <c r="T20" i="16" s="1"/>
  <c r="U20" i="16" s="1"/>
  <c r="V20" i="16" s="1"/>
  <c r="W20" i="16" s="1"/>
  <c r="X20" i="16" s="1"/>
  <c r="Y20" i="16" s="1"/>
  <c r="Z20" i="16" s="1"/>
  <c r="AA20" i="16" s="1"/>
  <c r="AB20" i="16" s="1"/>
  <c r="AC20" i="16" s="1"/>
  <c r="AD20" i="16" s="1"/>
  <c r="AE20" i="16" s="1"/>
  <c r="AF20" i="16" s="1"/>
  <c r="AG20" i="16" s="1"/>
  <c r="AH20" i="16" s="1"/>
  <c r="AI20" i="16" s="1"/>
  <c r="AJ20" i="16" s="1"/>
  <c r="AK20" i="16" s="1"/>
  <c r="K11" i="18"/>
  <c r="G37" i="16"/>
  <c r="H37" i="16" s="1"/>
  <c r="K5" i="18"/>
  <c r="K8" i="18" a="1"/>
  <c r="K7" i="18" a="1"/>
  <c r="K7" i="18" s="1"/>
  <c r="G57" i="16"/>
  <c r="E5" i="18" a="1"/>
  <c r="E5" i="18" s="1"/>
  <c r="K4" i="18" s="1"/>
  <c r="K78" i="16"/>
  <c r="L78" i="16" s="1"/>
  <c r="M78" i="16" s="1"/>
  <c r="N78" i="16" s="1"/>
  <c r="O78" i="16" s="1"/>
  <c r="P78" i="16" s="1"/>
  <c r="E43" i="16"/>
  <c r="D10" i="22" s="1"/>
  <c r="G50" i="16"/>
  <c r="H50" i="16" s="1"/>
  <c r="J17" i="16"/>
  <c r="K17" i="16" s="1"/>
  <c r="L17" i="16" s="1"/>
  <c r="M17" i="16" s="1"/>
  <c r="N17" i="16" s="1"/>
  <c r="O17" i="16" s="1"/>
  <c r="P17" i="16" s="1"/>
  <c r="Q17" i="16" s="1"/>
  <c r="R17" i="16" s="1"/>
  <c r="S17" i="16" s="1"/>
  <c r="T17" i="16" s="1"/>
  <c r="U17" i="16" s="1"/>
  <c r="V17" i="16" s="1"/>
  <c r="W17" i="16" s="1"/>
  <c r="X17" i="16" s="1"/>
  <c r="Y17" i="16" s="1"/>
  <c r="Z17" i="16" s="1"/>
  <c r="AA17" i="16" s="1"/>
  <c r="AB17" i="16" s="1"/>
  <c r="AC17" i="16" s="1"/>
  <c r="AD17" i="16" s="1"/>
  <c r="AE17" i="16" s="1"/>
  <c r="AF17" i="16" s="1"/>
  <c r="AG17" i="16" s="1"/>
  <c r="AH17" i="16" s="1"/>
  <c r="AI17" i="16" s="1"/>
  <c r="AJ17" i="16" s="1"/>
  <c r="AK17" i="16" s="1"/>
  <c r="J15" i="16"/>
  <c r="K15" i="16" s="1"/>
  <c r="L15" i="16" s="1"/>
  <c r="M15" i="16" s="1"/>
  <c r="N15" i="16" s="1"/>
  <c r="O15" i="16" s="1"/>
  <c r="P15" i="16" s="1"/>
  <c r="Q15" i="16" s="1"/>
  <c r="R15" i="16" s="1"/>
  <c r="S15" i="16" s="1"/>
  <c r="T15" i="16" s="1"/>
  <c r="U15" i="16" s="1"/>
  <c r="V15" i="16" s="1"/>
  <c r="W15" i="16" s="1"/>
  <c r="X15" i="16" s="1"/>
  <c r="Y15" i="16" s="1"/>
  <c r="Z15" i="16" s="1"/>
  <c r="AA15" i="16" s="1"/>
  <c r="AB15" i="16" s="1"/>
  <c r="AC15" i="16" s="1"/>
  <c r="AD15" i="16" s="1"/>
  <c r="AE15" i="16" s="1"/>
  <c r="AF15" i="16" s="1"/>
  <c r="AG15" i="16" s="1"/>
  <c r="AH15" i="16" s="1"/>
  <c r="AI15" i="16" s="1"/>
  <c r="AJ15" i="16" s="1"/>
  <c r="AK15" i="16" s="1"/>
  <c r="J16" i="16"/>
  <c r="K16" i="16" s="1"/>
  <c r="L16" i="16" s="1"/>
  <c r="M16" i="16" s="1"/>
  <c r="N16" i="16" s="1"/>
  <c r="O16" i="16" s="1"/>
  <c r="P16" i="16" s="1"/>
  <c r="Q16" i="16" s="1"/>
  <c r="R16" i="16" s="1"/>
  <c r="S16" i="16" s="1"/>
  <c r="T16" i="16" s="1"/>
  <c r="U16" i="16" s="1"/>
  <c r="V16" i="16" s="1"/>
  <c r="W16" i="16" s="1"/>
  <c r="X16" i="16" s="1"/>
  <c r="Y16" i="16" s="1"/>
  <c r="Z16" i="16" s="1"/>
  <c r="AA16" i="16" s="1"/>
  <c r="AB16" i="16" s="1"/>
  <c r="AC16" i="16" s="1"/>
  <c r="AD16" i="16" s="1"/>
  <c r="AE16" i="16" s="1"/>
  <c r="AF16" i="16" s="1"/>
  <c r="AG16" i="16" s="1"/>
  <c r="AH16" i="16" s="1"/>
  <c r="AI16" i="16" s="1"/>
  <c r="AJ16" i="16" s="1"/>
  <c r="AK16" i="16" s="1"/>
  <c r="G63" i="16"/>
  <c r="H63" i="16" s="1"/>
  <c r="I63" i="16" s="1"/>
  <c r="J63" i="16" s="1"/>
  <c r="K63" i="16" s="1"/>
  <c r="L63" i="16" s="1"/>
  <c r="M63" i="16" s="1"/>
  <c r="N63" i="16" s="1"/>
  <c r="O63" i="16" s="1"/>
  <c r="P63" i="16" s="1"/>
  <c r="Q63" i="16" s="1"/>
  <c r="R63" i="16" s="1"/>
  <c r="S63" i="16" s="1"/>
  <c r="T63" i="16" s="1"/>
  <c r="U63" i="16" s="1"/>
  <c r="V63" i="16" s="1"/>
  <c r="W63" i="16" s="1"/>
  <c r="X63" i="16" s="1"/>
  <c r="Y63" i="16" s="1"/>
  <c r="Z63" i="16" s="1"/>
  <c r="AA63" i="16" s="1"/>
  <c r="AB63" i="16" s="1"/>
  <c r="AC63" i="16" s="1"/>
  <c r="AD63" i="16" s="1"/>
  <c r="AE63" i="16" s="1"/>
  <c r="AF63" i="16" s="1"/>
  <c r="AG63" i="16" s="1"/>
  <c r="AH63" i="16" s="1"/>
  <c r="AI63" i="16" s="1"/>
  <c r="AJ63" i="16" s="1"/>
  <c r="K83" i="16"/>
  <c r="F50" i="22" s="1"/>
  <c r="G62" i="16"/>
  <c r="I14" i="16"/>
  <c r="F52" i="16"/>
  <c r="I13" i="16"/>
  <c r="F51" i="16"/>
  <c r="I46" i="16"/>
  <c r="F51" i="22" s="1"/>
  <c r="G58" i="16"/>
  <c r="H58" i="16" s="1"/>
  <c r="I58" i="16" s="1"/>
  <c r="J58" i="16" s="1"/>
  <c r="K58" i="16" s="1"/>
  <c r="L58" i="16" s="1"/>
  <c r="M58" i="16" s="1"/>
  <c r="N58" i="16" s="1"/>
  <c r="O58" i="16" s="1"/>
  <c r="P58" i="16" s="1"/>
  <c r="Q58" i="16" s="1"/>
  <c r="R58" i="16" s="1"/>
  <c r="S58" i="16" s="1"/>
  <c r="T58" i="16" s="1"/>
  <c r="U58" i="16" s="1"/>
  <c r="V58" i="16" s="1"/>
  <c r="W58" i="16" s="1"/>
  <c r="X58" i="16" s="1"/>
  <c r="Y58" i="16" s="1"/>
  <c r="Z58" i="16" s="1"/>
  <c r="AA58" i="16" s="1"/>
  <c r="AB58" i="16" s="1"/>
  <c r="AC58" i="16" s="1"/>
  <c r="AD58" i="16" s="1"/>
  <c r="AE58" i="16" s="1"/>
  <c r="AF58" i="16" s="1"/>
  <c r="AG58" i="16" s="1"/>
  <c r="AH58" i="16" s="1"/>
  <c r="AI58" i="16" s="1"/>
  <c r="AJ58" i="16" s="1"/>
  <c r="G64" i="16"/>
  <c r="H64" i="16" s="1"/>
  <c r="I64" i="16" s="1"/>
  <c r="J64" i="16" s="1"/>
  <c r="K64" i="16" s="1"/>
  <c r="L64" i="16" s="1"/>
  <c r="M64" i="16" s="1"/>
  <c r="N64" i="16" s="1"/>
  <c r="O64" i="16" s="1"/>
  <c r="P64" i="16" s="1"/>
  <c r="Q64" i="16" s="1"/>
  <c r="R64" i="16" s="1"/>
  <c r="S64" i="16" s="1"/>
  <c r="T64" i="16" s="1"/>
  <c r="U64" i="16" s="1"/>
  <c r="V64" i="16" s="1"/>
  <c r="W64" i="16" s="1"/>
  <c r="X64" i="16" s="1"/>
  <c r="Y64" i="16" s="1"/>
  <c r="Z64" i="16" s="1"/>
  <c r="AA64" i="16" s="1"/>
  <c r="AB64" i="16" s="1"/>
  <c r="AC64" i="16" s="1"/>
  <c r="AD64" i="16" s="1"/>
  <c r="AE64" i="16" s="1"/>
  <c r="AF64" i="16" s="1"/>
  <c r="AG64" i="16" s="1"/>
  <c r="AH64" i="16" s="1"/>
  <c r="AI64" i="16" s="1"/>
  <c r="AJ64" i="16" s="1"/>
  <c r="G59" i="16"/>
  <c r="H59" i="16" s="1"/>
  <c r="I59" i="16" s="1"/>
  <c r="J59" i="16" s="1"/>
  <c r="K59" i="16" s="1"/>
  <c r="L59" i="16" s="1"/>
  <c r="M59" i="16" s="1"/>
  <c r="N59" i="16" s="1"/>
  <c r="O59" i="16" s="1"/>
  <c r="P59" i="16" s="1"/>
  <c r="Q59" i="16" s="1"/>
  <c r="R59" i="16" s="1"/>
  <c r="S59" i="16" s="1"/>
  <c r="T59" i="16" s="1"/>
  <c r="U59" i="16" s="1"/>
  <c r="V59" i="16" s="1"/>
  <c r="W59" i="16" s="1"/>
  <c r="X59" i="16" s="1"/>
  <c r="Y59" i="16" s="1"/>
  <c r="Z59" i="16" s="1"/>
  <c r="AA59" i="16" s="1"/>
  <c r="AB59" i="16" s="1"/>
  <c r="AC59" i="16" s="1"/>
  <c r="AD59" i="16" s="1"/>
  <c r="AE59" i="16" s="1"/>
  <c r="AF59" i="16" s="1"/>
  <c r="AG59" i="16" s="1"/>
  <c r="AH59" i="16" s="1"/>
  <c r="AI59" i="16" s="1"/>
  <c r="AJ59" i="16" s="1"/>
  <c r="J28" i="16"/>
  <c r="K28" i="16" s="1"/>
  <c r="L28" i="16" s="1"/>
  <c r="M28" i="16" s="1"/>
  <c r="N28" i="16" s="1"/>
  <c r="O28" i="16" s="1"/>
  <c r="P28" i="16" s="1"/>
  <c r="Q28" i="16" s="1"/>
  <c r="R28" i="16" s="1"/>
  <c r="S28" i="16" s="1"/>
  <c r="T28" i="16" s="1"/>
  <c r="U28" i="16" s="1"/>
  <c r="V28" i="16" s="1"/>
  <c r="W28" i="16" s="1"/>
  <c r="X28" i="16" s="1"/>
  <c r="Y28" i="16" s="1"/>
  <c r="Z28" i="16" s="1"/>
  <c r="AA28" i="16" s="1"/>
  <c r="AB28" i="16" s="1"/>
  <c r="AC28" i="16" s="1"/>
  <c r="AD28" i="16" s="1"/>
  <c r="AE28" i="16" s="1"/>
  <c r="AF28" i="16" s="1"/>
  <c r="AG28" i="16" s="1"/>
  <c r="AH28" i="16" s="1"/>
  <c r="AI28" i="16" s="1"/>
  <c r="AJ28" i="16" s="1"/>
  <c r="AK28" i="16" s="1"/>
  <c r="J29" i="16"/>
  <c r="K29" i="16" s="1"/>
  <c r="L29" i="16" s="1"/>
  <c r="M29" i="16" s="1"/>
  <c r="N29" i="16" s="1"/>
  <c r="O29" i="16" s="1"/>
  <c r="P29" i="16" s="1"/>
  <c r="Q29" i="16" s="1"/>
  <c r="R29" i="16" s="1"/>
  <c r="S29" i="16" s="1"/>
  <c r="T29" i="16" s="1"/>
  <c r="U29" i="16" s="1"/>
  <c r="V29" i="16" s="1"/>
  <c r="W29" i="16" s="1"/>
  <c r="X29" i="16" s="1"/>
  <c r="Y29" i="16" s="1"/>
  <c r="Z29" i="16" s="1"/>
  <c r="AA29" i="16" s="1"/>
  <c r="AB29" i="16" s="1"/>
  <c r="AC29" i="16" s="1"/>
  <c r="AD29" i="16" s="1"/>
  <c r="AE29" i="16" s="1"/>
  <c r="AF29" i="16" s="1"/>
  <c r="AG29" i="16" s="1"/>
  <c r="AH29" i="16" s="1"/>
  <c r="AI29" i="16" s="1"/>
  <c r="AJ29" i="16" s="1"/>
  <c r="AK29" i="16" s="1"/>
  <c r="C9" i="5"/>
  <c r="C8" i="5"/>
  <c r="C5" i="5"/>
  <c r="C4" i="5"/>
  <c r="F52" i="22" l="1"/>
  <c r="F53" i="22" s="1"/>
  <c r="E65" i="16"/>
  <c r="H57" i="16"/>
  <c r="I57" i="16" s="1"/>
  <c r="K9" i="18"/>
  <c r="K8" i="18"/>
  <c r="H6" i="18"/>
  <c r="E23" i="16"/>
  <c r="C49" i="22" s="1"/>
  <c r="K6" i="18"/>
  <c r="E30" i="16"/>
  <c r="K10" i="18"/>
  <c r="K3" i="18" a="1"/>
  <c r="K3" i="18" s="1"/>
  <c r="H5" i="18"/>
  <c r="J46" i="16"/>
  <c r="K46" i="16" s="1"/>
  <c r="L46" i="16" s="1"/>
  <c r="M46" i="16" s="1"/>
  <c r="N46" i="16" s="1"/>
  <c r="O46" i="16" s="1"/>
  <c r="P46" i="16" s="1"/>
  <c r="Q46" i="16" s="1"/>
  <c r="R46" i="16" s="1"/>
  <c r="S46" i="16" s="1"/>
  <c r="T46" i="16" s="1"/>
  <c r="U46" i="16" s="1"/>
  <c r="V46" i="16" s="1"/>
  <c r="W46" i="16" s="1"/>
  <c r="X46" i="16" s="1"/>
  <c r="Y46" i="16" s="1"/>
  <c r="Z46" i="16" s="1"/>
  <c r="AA46" i="16" s="1"/>
  <c r="AB46" i="16" s="1"/>
  <c r="AC46" i="16" s="1"/>
  <c r="AD46" i="16" s="1"/>
  <c r="AE46" i="16" s="1"/>
  <c r="AF46" i="16" s="1"/>
  <c r="AG46" i="16" s="1"/>
  <c r="AH46" i="16" s="1"/>
  <c r="AI46" i="16" s="1"/>
  <c r="AJ46" i="16" s="1"/>
  <c r="AK46" i="16" s="1"/>
  <c r="H62" i="16"/>
  <c r="I62" i="16" s="1"/>
  <c r="J62" i="16" s="1"/>
  <c r="K62" i="16" s="1"/>
  <c r="L62" i="16" s="1"/>
  <c r="M62" i="16" s="1"/>
  <c r="N62" i="16" s="1"/>
  <c r="O62" i="16" s="1"/>
  <c r="P62" i="16" s="1"/>
  <c r="Q62" i="16" s="1"/>
  <c r="R62" i="16" s="1"/>
  <c r="S62" i="16" s="1"/>
  <c r="T62" i="16" s="1"/>
  <c r="U62" i="16" s="1"/>
  <c r="V62" i="16" s="1"/>
  <c r="W62" i="16" s="1"/>
  <c r="X62" i="16" s="1"/>
  <c r="Y62" i="16" s="1"/>
  <c r="Z62" i="16" s="1"/>
  <c r="AA62" i="16" s="1"/>
  <c r="AB62" i="16" s="1"/>
  <c r="AC62" i="16" s="1"/>
  <c r="AD62" i="16" s="1"/>
  <c r="AE62" i="16" s="1"/>
  <c r="AF62" i="16" s="1"/>
  <c r="AG62" i="16" s="1"/>
  <c r="AH62" i="16" s="1"/>
  <c r="AI62" i="16" s="1"/>
  <c r="AJ62" i="16" s="1"/>
  <c r="E37" i="16"/>
  <c r="C48" i="22" s="1"/>
  <c r="H4" i="18"/>
  <c r="K2" i="18" a="1"/>
  <c r="K2" i="18" s="1"/>
  <c r="H2" i="18" a="1"/>
  <c r="H2" i="18" s="1"/>
  <c r="E50" i="16"/>
  <c r="Q78" i="16"/>
  <c r="R78" i="16" s="1"/>
  <c r="S78" i="16" s="1"/>
  <c r="T78" i="16" s="1"/>
  <c r="U78" i="16" s="1"/>
  <c r="V78" i="16" s="1"/>
  <c r="W78" i="16" s="1"/>
  <c r="X78" i="16" s="1"/>
  <c r="Y78" i="16" s="1"/>
  <c r="Z78" i="16" s="1"/>
  <c r="AA78" i="16" s="1"/>
  <c r="AB78" i="16" s="1"/>
  <c r="AC78" i="16" s="1"/>
  <c r="AD78" i="16" s="1"/>
  <c r="AE78" i="16" s="1"/>
  <c r="AF78" i="16" s="1"/>
  <c r="AG78" i="16" s="1"/>
  <c r="AH78" i="16" s="1"/>
  <c r="AI78" i="16" s="1"/>
  <c r="AJ78" i="16" s="1"/>
  <c r="AK78" i="16" s="1"/>
  <c r="E77" i="16"/>
  <c r="AK64" i="16"/>
  <c r="E70" i="16"/>
  <c r="E20" i="16"/>
  <c r="E69" i="16"/>
  <c r="G52" i="16"/>
  <c r="H52" i="16" s="1"/>
  <c r="E29" i="16"/>
  <c r="E28" i="16"/>
  <c r="E16" i="16"/>
  <c r="E15" i="16"/>
  <c r="E17" i="16"/>
  <c r="J13" i="16"/>
  <c r="K13" i="16" s="1"/>
  <c r="L13" i="16" s="1"/>
  <c r="M13" i="16" s="1"/>
  <c r="J14" i="16"/>
  <c r="K14" i="16" s="1"/>
  <c r="L14" i="16" s="1"/>
  <c r="M14" i="16" s="1"/>
  <c r="N14" i="16" s="1"/>
  <c r="O14" i="16" s="1"/>
  <c r="P14" i="16" s="1"/>
  <c r="Q14" i="16" s="1"/>
  <c r="R14" i="16" s="1"/>
  <c r="S14" i="16" s="1"/>
  <c r="T14" i="16" s="1"/>
  <c r="U14" i="16" s="1"/>
  <c r="V14" i="16" s="1"/>
  <c r="W14" i="16" s="1"/>
  <c r="X14" i="16" s="1"/>
  <c r="Y14" i="16" s="1"/>
  <c r="Z14" i="16" s="1"/>
  <c r="AA14" i="16" s="1"/>
  <c r="AB14" i="16" s="1"/>
  <c r="AC14" i="16" s="1"/>
  <c r="AD14" i="16" s="1"/>
  <c r="AE14" i="16" s="1"/>
  <c r="AF14" i="16" s="1"/>
  <c r="AG14" i="16" s="1"/>
  <c r="AH14" i="16" s="1"/>
  <c r="AI14" i="16" s="1"/>
  <c r="AJ14" i="16" s="1"/>
  <c r="AK14" i="16" s="1"/>
  <c r="L83" i="16"/>
  <c r="M83" i="16" s="1"/>
  <c r="G51" i="16"/>
  <c r="H51" i="16" s="1"/>
  <c r="G86" i="16"/>
  <c r="J57" i="16" l="1"/>
  <c r="K57" i="16" s="1"/>
  <c r="L57" i="16" s="1"/>
  <c r="M57" i="16" s="1"/>
  <c r="N57" i="16" s="1"/>
  <c r="O57" i="16" s="1"/>
  <c r="P57" i="16" s="1"/>
  <c r="Q57" i="16" s="1"/>
  <c r="R57" i="16" s="1"/>
  <c r="S57" i="16" s="1"/>
  <c r="T57" i="16" s="1"/>
  <c r="U57" i="16" s="1"/>
  <c r="V57" i="16" s="1"/>
  <c r="W57" i="16" s="1"/>
  <c r="X57" i="16" s="1"/>
  <c r="Y57" i="16" s="1"/>
  <c r="Z57" i="16" s="1"/>
  <c r="AA57" i="16" s="1"/>
  <c r="AB57" i="16" s="1"/>
  <c r="AC57" i="16" s="1"/>
  <c r="AD57" i="16" s="1"/>
  <c r="AE57" i="16" s="1"/>
  <c r="AF57" i="16" s="1"/>
  <c r="AG57" i="16" s="1"/>
  <c r="AH57" i="16" s="1"/>
  <c r="AI57" i="16" s="1"/>
  <c r="AJ57" i="16" s="1"/>
  <c r="C10" i="22"/>
  <c r="C13" i="22" s="1"/>
  <c r="B11" i="22"/>
  <c r="C12" i="22"/>
  <c r="B12" i="22"/>
  <c r="H9" i="18"/>
  <c r="E52" i="16"/>
  <c r="E68" i="16"/>
  <c r="C52" i="22" s="1"/>
  <c r="E64" i="16"/>
  <c r="AK59" i="16"/>
  <c r="E78" i="16"/>
  <c r="F10" i="22" s="1"/>
  <c r="E46" i="16"/>
  <c r="D11" i="22" s="1"/>
  <c r="D13" i="22" s="1"/>
  <c r="E62" i="16"/>
  <c r="E63" i="16"/>
  <c r="E58" i="16"/>
  <c r="E51" i="16"/>
  <c r="E14" i="16"/>
  <c r="H86" i="16"/>
  <c r="I86" i="16" s="1"/>
  <c r="J86" i="16" s="1"/>
  <c r="E86" i="16" s="1"/>
  <c r="C50" i="22" s="1"/>
  <c r="N83" i="16"/>
  <c r="O83" i="16" s="1"/>
  <c r="P83" i="16" s="1"/>
  <c r="Q83" i="16" s="1"/>
  <c r="R83" i="16" s="1"/>
  <c r="S83" i="16" s="1"/>
  <c r="T83" i="16" s="1"/>
  <c r="U83" i="16" s="1"/>
  <c r="V83" i="16" s="1"/>
  <c r="W83" i="16" s="1"/>
  <c r="X83" i="16" s="1"/>
  <c r="Y83" i="16" s="1"/>
  <c r="Z83" i="16" s="1"/>
  <c r="AA83" i="16" s="1"/>
  <c r="AB83" i="16" s="1"/>
  <c r="AC83" i="16" s="1"/>
  <c r="AD83" i="16" s="1"/>
  <c r="AE83" i="16" s="1"/>
  <c r="AF83" i="16" s="1"/>
  <c r="AG83" i="16" s="1"/>
  <c r="AH83" i="16" s="1"/>
  <c r="AI83" i="16" s="1"/>
  <c r="AJ83" i="16" s="1"/>
  <c r="AK83" i="16" s="1"/>
  <c r="N13" i="16"/>
  <c r="O13" i="16" s="1"/>
  <c r="P13" i="16" s="1"/>
  <c r="Q13" i="16" s="1"/>
  <c r="R13" i="16" s="1"/>
  <c r="S13" i="16" s="1"/>
  <c r="T13" i="16" s="1"/>
  <c r="U13" i="16" s="1"/>
  <c r="V13" i="16" s="1"/>
  <c r="W13" i="16" s="1"/>
  <c r="X13" i="16" s="1"/>
  <c r="Y13" i="16" s="1"/>
  <c r="Z13" i="16" s="1"/>
  <c r="AA13" i="16" s="1"/>
  <c r="AB13" i="16" s="1"/>
  <c r="AC13" i="16" s="1"/>
  <c r="AD13" i="16" s="1"/>
  <c r="AE13" i="16" s="1"/>
  <c r="AF13" i="16" s="1"/>
  <c r="AG13" i="16" s="1"/>
  <c r="AH13" i="16" s="1"/>
  <c r="AI13" i="16" s="1"/>
  <c r="AJ13" i="16" s="1"/>
  <c r="AK13" i="16" s="1"/>
  <c r="C51" i="22" l="1"/>
  <c r="E57" i="16"/>
  <c r="C5" i="22"/>
  <c r="C14" i="22" a="1"/>
  <c r="C14" i="22" s="1"/>
  <c r="E11" i="22"/>
  <c r="D12" i="22"/>
  <c r="D14" i="22" s="1" a="1"/>
  <c r="D14" i="22" s="1"/>
  <c r="F12" i="22"/>
  <c r="E12" i="22"/>
  <c r="E59" i="16"/>
  <c r="E13" i="16"/>
  <c r="E83" i="16"/>
  <c r="C4" i="22" s="1"/>
  <c r="F90" i="16"/>
  <c r="E15" i="17" s="1"/>
  <c r="E10" i="22" l="1"/>
  <c r="E14" i="22" s="1" a="1"/>
  <c r="E14" i="22" s="1"/>
  <c r="C3" i="22"/>
  <c r="C7" i="22" s="1" a="1"/>
  <c r="C7" i="22" s="1"/>
  <c r="G12" i="22"/>
  <c r="F89" i="16"/>
  <c r="E14" i="17" s="1"/>
  <c r="F11" i="22"/>
  <c r="B10" i="22"/>
  <c r="B3" i="22"/>
  <c r="B6" i="22" s="1"/>
  <c r="F88" i="16"/>
  <c r="E13" i="22" l="1"/>
  <c r="C6" i="22"/>
  <c r="F13" i="22"/>
  <c r="F14" i="22" a="1"/>
  <c r="F14" i="22" s="1"/>
  <c r="G11" i="22"/>
  <c r="G10" i="22"/>
  <c r="B14" i="22" a="1"/>
  <c r="B14" i="22" s="1"/>
  <c r="B13" i="22"/>
  <c r="F91" i="16"/>
  <c r="E16" i="17" s="1"/>
  <c r="E13" i="17"/>
  <c r="G13" i="22" l="1"/>
  <c r="G14" i="22" a="1"/>
  <c r="G14"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tc={D7B9AB72-1099-FA45-BE77-ABF2718CAFBE}</author>
    <author>tc={0FD2F163-C14B-5646-8A18-922B41E4C58A}</author>
    <author>tc={27436643-34C3-3645-9625-91C48F719EB2}</author>
    <author>tc={D342F0E0-170A-C94A-BFD8-ECEB464A3542}</author>
    <author>tc={FFB1F8BE-9397-1742-A89A-9F839E68BFAE}</author>
    <author>tc={80C0B627-045F-E649-B795-20D52284992A}</author>
    <author>tc={5FE319C2-1A6D-2C49-845B-F9CC67FA81CC}</author>
    <author>tc={06F8391D-27B7-CC4C-B8C3-A6BFC5F99EE5}</author>
    <author>tc={DEE56529-F366-C94E-976D-6BC80447FF23}</author>
    <author>tc={E572C1C7-A422-6347-B63F-F96C5B6DFEB4}</author>
  </authors>
  <commentList>
    <comment ref="C16" authorId="0" shapeId="0" xr:uid="{D7B9AB72-1099-FA45-BE77-ABF2718CAFBE}">
      <text>
        <t>[Threaded comment]
Your version of Excel allows you to read this threaded comment; however, any edits to it will get removed if the file is opened in a newer version of Excel. Learn more: https://go.microsoft.com/fwlink/?linkid=870924
Comment:
    changed from kwp to kwh (1kwp = 1000kwh)</t>
      </text>
    </comment>
    <comment ref="C18" authorId="1" shapeId="0" xr:uid="{0FD2F163-C14B-5646-8A18-922B41E4C58A}">
      <text>
        <t>[Threaded comment]
Your version of Excel allows you to read this threaded comment; however, any edits to it will get removed if the file is opened in a newer version of Excel. Learn more: https://go.microsoft.com/fwlink/?linkid=870924
Comment:
    =1.37*1300
previous calculation from yunuo^</t>
      </text>
    </comment>
    <comment ref="B21" authorId="2" shapeId="0" xr:uid="{27436643-34C3-3645-9625-91C48F719EB2}">
      <text>
        <t>[Threaded comment]
Your version of Excel allows you to read this threaded comment; however, any edits to it will get removed if the file is opened in a newer version of Excel. Learn more: https://go.microsoft.com/fwlink/?linkid=870924
Comment:
    no info if this includes the operating cost of the pv and the units (to scale to our project)</t>
      </text>
    </comment>
    <comment ref="A31" authorId="3" shapeId="0" xr:uid="{D342F0E0-170A-C94A-BFD8-ECEB464A3542}">
      <text>
        <t>[Threaded comment]
Your version of Excel allows you to read this threaded comment; however, any edits to it will get removed if the file is opened in a newer version of Excel. Learn more: https://go.microsoft.com/fwlink/?linkid=870924
Comment:
    remove either this or the rainwater harvesting tank cost below (currently we are using rainwater harvesting tank cost of 50)</t>
      </text>
    </comment>
    <comment ref="A32" authorId="4" shapeId="0" xr:uid="{FFB1F8BE-9397-1742-A89A-9F839E68BFAE}">
      <text>
        <t xml:space="preserve">[Threaded comment]
Your version of Excel allows you to read this threaded comment; however, any edits to it will get removed if the file is opened in a newer version of Excel. Learn more: https://go.microsoft.com/fwlink/?linkid=870924
Comment:
    not needed anymore
</t>
      </text>
    </comment>
    <comment ref="C56" authorId="5" shapeId="0" xr:uid="{80C0B627-045F-E649-B795-20D52284992A}">
      <text>
        <t xml:space="preserve">[Threaded comment]
Your version of Excel allows you to read this threaded comment; however, any edits to it will get removed if the file is opened in a newer version of Excel. Learn more: https://go.microsoft.com/fwlink/?linkid=870924
Comment:
    two different studies with varying calculation of mental health cost savings </t>
      </text>
    </comment>
    <comment ref="A62" authorId="6" shapeId="0" xr:uid="{5FE319C2-1A6D-2C49-845B-F9CC67FA81CC}">
      <text>
        <t xml:space="preserve">[Threaded comment]
Your version of Excel allows you to read this threaded comment; however, any edits to it will get removed if the file is opened in a newer version of Excel. Learn more: https://go.microsoft.com/fwlink/?linkid=870924
Comment:
    but technically not all will be staying outside of campus
</t>
      </text>
    </comment>
    <comment ref="A63" authorId="7" shapeId="0" xr:uid="{06F8391D-27B7-CC4C-B8C3-A6BFC5F99EE5}">
      <text>
        <t xml:space="preserve">[Threaded comment]
Your version of Excel allows you to read this threaded comment; however, any edits to it will get removed if the file is opened in a newer version of Excel. Learn more: https://go.microsoft.com/fwlink/?linkid=870924
Comment:
    but technically not all will be staying outside of campus
</t>
      </text>
    </comment>
    <comment ref="D72" authorId="8" shapeId="0" xr:uid="{DEE56529-F366-C94E-976D-6BC80447FF23}">
      <text>
        <t>[Threaded comment]
Your version of Excel allows you to read this threaded comment; however, any edits to it will get removed if the file is opened in a newer version of Excel. Learn more: https://go.microsoft.com/fwlink/?linkid=870924
Comment:
    revisit this assumption, as our current bus system is quite efficient at connectiivty?</t>
      </text>
    </comment>
    <comment ref="D93" authorId="9" shapeId="0" xr:uid="{E572C1C7-A422-6347-B63F-F96C5B6DFEB4}">
      <text>
        <t>[Threaded comment]
Your version of Excel allows you to read this threaded comment; however, any edits to it will get removed if the file is opened in a newer version of Excel. Learn more: https://go.microsoft.com/fwlink/?linkid=870924
Comment:
    to review the approriateness of using greenspace usage instd of public space.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tc={8175B747-42D5-AB4E-9D73-FB946A06C1EA}</author>
    <author>tc={94536EF1-6462-401E-AC0B-32BBB9D79008}</author>
    <author>tc={7F2A6E2F-193A-204C-9315-5605502F17B5}</author>
    <author>tc={54016BA4-B883-B341-9C90-B9063036DB6A}</author>
    <author>tc={FDF5275F-806D-A141-9F06-35692F4040A9}</author>
  </authors>
  <commentList>
    <comment ref="P18" authorId="0" shapeId="0" xr:uid="{8175B747-42D5-AB4E-9D73-FB946A06C1EA}">
      <text>
        <t>[Threaded comment]
Your version of Excel allows you to read this threaded comment; however, any edits to it will get removed if the file is opened in a newer version of Excel. Learn more: https://go.microsoft.com/fwlink/?linkid=870924
Comment:
    edited: 
total reduction in energy demand(kwh/yr) * energy tarrif (sgd/kwh)
=(sgd per year)</t>
      </text>
    </comment>
    <comment ref="L34" authorId="1" shapeId="0" xr:uid="{94536EF1-6462-401E-AC0B-32BBB9D79008}">
      <text>
        <t>[Threaded comment]
Your version of Excel allows you to read this threaded comment; however, any edits to it will get removed if the file is opened in a newer version of Excel. Learn more: https://go.microsoft.com/fwlink/?linkid=870924
Comment:
    Figured out why. Suggest not to use mortality coverage to proxy for health</t>
      </text>
    </comment>
    <comment ref="P36" authorId="2" shapeId="0" xr:uid="{7F2A6E2F-193A-204C-9315-5605502F17B5}">
      <text>
        <t xml:space="preserve">[Threaded comment]
Your version of Excel allows you to read this threaded comment; however, any edits to it will get removed if the file is opened in a newer version of Excel. Learn more: https://go.microsoft.com/fwlink/?linkid=870924
Comment:
    assume 100% drive in a car with fewer than 2 pax and that students or staff go to school 5 times a week
</t>
      </text>
    </comment>
    <comment ref="P38" authorId="3" shapeId="0" xr:uid="{54016BA4-B883-B341-9C90-B9063036DB6A}">
      <text>
        <t>[Threaded comment]
Your version of Excel allows you to read this threaded comment; however, any edits to it will get removed if the file is opened in a newer version of Excel. Learn more: https://go.microsoft.com/fwlink/?linkid=870924
Comment:
    looks abit low... connectivity assumption a bit low</t>
      </text>
    </comment>
    <comment ref="J40" authorId="4" shapeId="0" xr:uid="{FDF5275F-806D-A141-9F06-35692F4040A9}">
      <text>
        <t>[Threaded comment]
Your version of Excel allows you to read this threaded comment; however, any edits to it will get removed if the file is opened in a newer version of Excel. Learn more: https://go.microsoft.com/fwlink/?linkid=870924
Comment:
    change to mw (peak)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tc={58D09BE9-6BAF-4E4C-A66B-CA7FAEDD5100}</author>
    <author>tc={514C09E9-634E-499E-A7B9-A2BC3C46A751}</author>
    <author>tc={BA59A802-4573-9749-9601-9D69491C76E0}</author>
  </authors>
  <commentList>
    <comment ref="E16" authorId="0" shapeId="0" xr:uid="{58D09BE9-6BAF-4E4C-A66B-CA7FAEDD5100}">
      <text>
        <t>[Threaded comment]
Your version of Excel allows you to read this threaded comment; however, any edits to it will get removed if the file is opened in a newer version of Excel. Learn more: https://go.microsoft.com/fwlink/?linkid=870924
Comment:
    might need to revisit this assumption due to new buildings (residential on campus)</t>
      </text>
    </comment>
    <comment ref="A27" authorId="1" shapeId="0" xr:uid="{514C09E9-634E-499E-A7B9-A2BC3C46A751}">
      <text>
        <t>[Threaded comment]
Your version of Excel allows you to read this threaded comment; however, any edits to it will get removed if the file is opened in a newer version of Excel. Learn more: https://go.microsoft.com/fwlink/?linkid=870924
Comment:
    new assumptions</t>
      </text>
    </comment>
    <comment ref="B29" authorId="2" shapeId="0" xr:uid="{BA59A802-4573-9749-9601-9D69491C76E0}">
      <text>
        <t xml:space="preserve">[Threaded comment]
Your version of Excel allows you to read this threaded comment; however, any edits to it will get removed if the file is opened in a newer version of Excel. Learn more: https://go.microsoft.com/fwlink/?linkid=870924
Comment:
    how do we assume 1 hr a day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<sst xmlns="http://schemas.openxmlformats.org/spreadsheetml/2006/main" count="2993" uniqueCount="1597">
  <si>
    <t>Cover Sheet</t>
  </si>
  <si>
    <t>then to hit the targets, we need to take intervention</t>
  </si>
  <si>
    <t>Hitting targets =&gt; has implications i.e. social benefits proxied by financial proxies</t>
  </si>
  <si>
    <t>Hitting targets =&gt; has implications i.e. costs from costing of stuff</t>
  </si>
  <si>
    <t>Build a template for the SROI calculation</t>
  </si>
  <si>
    <t>Build a template for the sensitivty analysis as well as graphics</t>
  </si>
  <si>
    <t>What are the interventions?????????</t>
  </si>
  <si>
    <t>What are the costs???????</t>
  </si>
  <si>
    <t>What the links say</t>
  </si>
  <si>
    <t>What the links say (1)</t>
  </si>
  <si>
    <t>What the links say (3)</t>
  </si>
  <si>
    <t>What the links say (2)</t>
  </si>
  <si>
    <t>The important information comes from the table seen</t>
  </si>
  <si>
    <t>The links say exactly what the pictures say</t>
  </si>
  <si>
    <t>it provides the information for the retrofit costs</t>
  </si>
  <si>
    <t>I suggest we use the sentosa express data because</t>
  </si>
  <si>
    <t xml:space="preserve">the retrofit costs are needed for us to estimate the costs of </t>
  </si>
  <si>
    <t>sentosa is also an elevated monorail</t>
  </si>
  <si>
    <t>rooftop solar PVs</t>
  </si>
  <si>
    <t>it's the best like for like comparison imo</t>
  </si>
  <si>
    <t>Façade Solar PVs</t>
  </si>
  <si>
    <t>However, this budget of 60 million for 62 hectares</t>
  </si>
  <si>
    <t>Costs for monorail appear</t>
  </si>
  <si>
    <t>Wind Turbine with rooftop PVs</t>
  </si>
  <si>
    <t>includes:</t>
  </si>
  <si>
    <t>straightforward</t>
  </si>
  <si>
    <t>It looks like the "for reference only" portion is enrichment</t>
  </si>
  <si>
    <t>Water restoration efforts</t>
  </si>
  <si>
    <t>no questions here</t>
  </si>
  <si>
    <t>We will probably not need it for our project</t>
  </si>
  <si>
    <t>Public Spaces</t>
  </si>
  <si>
    <t>Question is:</t>
  </si>
  <si>
    <t>Green spaces</t>
  </si>
  <si>
    <t>0. is the outlined steps correct?</t>
  </si>
  <si>
    <t>Trees</t>
  </si>
  <si>
    <t>1. How many m2 we need to retrofit?</t>
  </si>
  <si>
    <t>Question is</t>
  </si>
  <si>
    <t>2. Out of these, can we split the m2 by building type?</t>
  </si>
  <si>
    <t>1. how to introduce this to our costs?</t>
  </si>
  <si>
    <t>3. from there, we can calculate the retrofit investment cost</t>
  </si>
  <si>
    <t>2. Can we segment the costs into costs to separate</t>
  </si>
  <si>
    <t>components? Or is it impossible?</t>
  </si>
  <si>
    <t>3. is it even necessary?</t>
  </si>
  <si>
    <t>4. if necessary, how deep must we go?</t>
  </si>
  <si>
    <t>5. if necessary, once we segment, how do we</t>
  </si>
  <si>
    <t>adjust the costs for our project details?</t>
  </si>
  <si>
    <t>Description</t>
  </si>
  <si>
    <t>Unit</t>
  </si>
  <si>
    <t>Value</t>
  </si>
  <si>
    <t>Assumption(s) / Notes</t>
  </si>
  <si>
    <t>Source</t>
  </si>
  <si>
    <t>Data Year</t>
  </si>
  <si>
    <t>References, if any</t>
  </si>
  <si>
    <t>Remarks, if any</t>
  </si>
  <si>
    <t>Global / Project Wide Proxies</t>
  </si>
  <si>
    <t>Singapore average annual inflation rate last 51 years</t>
  </si>
  <si>
    <t>(World Bank, 2022a)</t>
  </si>
  <si>
    <t>Singapore GDP per capita 2022</t>
  </si>
  <si>
    <t>SGD</t>
  </si>
  <si>
    <t>(Singstat, 2023)</t>
  </si>
  <si>
    <t>https://www.singstat.gov.sg/find-data/search-by-theme/economy/national-accounts/latest-data</t>
  </si>
  <si>
    <t>Minutes per year</t>
  </si>
  <si>
    <t>minutes</t>
  </si>
  <si>
    <t xml:space="preserve">Exchange Rate </t>
  </si>
  <si>
    <t>USD/SGD</t>
  </si>
  <si>
    <t>As of 27 Oct 2023</t>
  </si>
  <si>
    <t>(YahooFinance, 2023)</t>
  </si>
  <si>
    <t>https://finance.yahoo.com/quote/SGDUSD=X/?guccounter=1</t>
  </si>
  <si>
    <t>SGD/INR</t>
  </si>
  <si>
    <t>https://finance.yahoo.com/quote/SGDINR=X/</t>
  </si>
  <si>
    <t>DKK/SGD</t>
  </si>
  <si>
    <t>https://finance.yahoo.com/quote/DKKSGD=X/</t>
  </si>
  <si>
    <t>Number of Staff and Students in NUS (steady state)</t>
  </si>
  <si>
    <t>Average number of ppl per hsehold in sg</t>
  </si>
  <si>
    <t>Energy Related Proxies</t>
  </si>
  <si>
    <t>SP electricity tariff, inclusive of GST</t>
  </si>
  <si>
    <t>S$/kWh</t>
  </si>
  <si>
    <t>SP Household Tariff</t>
  </si>
  <si>
    <t>(SP Group, 2023)</t>
  </si>
  <si>
    <t>https://www.spgroup.com.sg/our-services/utilities/tariff-information</t>
  </si>
  <si>
    <t>Cost of installing solar PV system in an industrial building</t>
  </si>
  <si>
    <t>Unit price for a 1 MWp system</t>
  </si>
  <si>
    <t>(NSR, n.d.)</t>
  </si>
  <si>
    <t>-</t>
  </si>
  <si>
    <t xml:space="preserve">https://www.solar-repository.sg/pv-adoption-in-singapore </t>
  </si>
  <si>
    <t>Cost of operating and maintaining solar PV system in an industrial building</t>
  </si>
  <si>
    <t>For a 1 MWp system</t>
  </si>
  <si>
    <t>Cost of Installing typical wind turbine</t>
  </si>
  <si>
    <t>Initial Price of wind turbine installation (assume only small ones can be installed at the top of the building for the Wind Farm)</t>
  </si>
  <si>
    <t>(Shine, 2022)</t>
  </si>
  <si>
    <t>https://www.attainablehome.com/small-wind-turbines-are-they-affordable/https://weatherguardwind.com/how-much-does-wind-turbine-cost-worth-it/</t>
  </si>
  <si>
    <t>Adjust for USD. Convert to SGD</t>
  </si>
  <si>
    <t>Cost of maintaining a typical wind turbine</t>
  </si>
  <si>
    <t>maintainance per kwh produced</t>
  </si>
  <si>
    <t>(Dan Blewett, 2023)</t>
  </si>
  <si>
    <t>https://weatherguardwind.com/how-much-does-wind-turbine-cost-worth-it/</t>
  </si>
  <si>
    <t>Source cites 1 - 2 cents USD per kWh. Use the average and convert to SGD</t>
  </si>
  <si>
    <t>Water Related Proxies</t>
  </si>
  <si>
    <t>Price of water for households</t>
  </si>
  <si>
    <t>SGD/m3</t>
  </si>
  <si>
    <t>Assume household price. Further, SG does not show non-potable water price. If estimate and incorporate difference, SROI goes down</t>
  </si>
  <si>
    <t>PUB, 2023</t>
  </si>
  <si>
    <t>https://beta.pub.gov.sg/public/waterloop/water-price</t>
  </si>
  <si>
    <t>Use the price from 2025 onwards because project is long term. Price is 18% higher than from current water price of $2.74</t>
  </si>
  <si>
    <t>Greywater Maintenance cost per m3 (based on 420m3)</t>
  </si>
  <si>
    <t>Adjusted for exchange rates between Pound &amp; SGD</t>
  </si>
  <si>
    <t>(Memon, 2005)</t>
  </si>
  <si>
    <t>N/A</t>
  </si>
  <si>
    <t>Further adjusted for singapore's historical inflation rate till 2023</t>
  </si>
  <si>
    <t>Greywater Treatment installation cost, per m3 treatment capacity (1 time cost)</t>
  </si>
  <si>
    <t>Adjusted for exchange rates between Pound &amp; SGD. installation and comissioning + site preparation + purchase of components +  collection &amp; distribution of pipework, based on 420m3</t>
  </si>
  <si>
    <t>Size of Water catchment tank (storage)</t>
  </si>
  <si>
    <t>m3</t>
  </si>
  <si>
    <t xml:space="preserve">Footprint of property (m2) x Drainage coefficient x filter efficiency x annual rainfall x 0.05 = recommended tank size. Since we have the target amount of Rainwater Harvesting we assume 5% of the Annual collection should be stored. </t>
  </si>
  <si>
    <t>https://www.owlshall.co.uk/guide/rainwater-harvesting/what-size-rainwater-tank-do-i-need/#:~:text=Basic%20Calculation%3A&amp;text=In%20most%20cases%20it%20works,x%200.05%20%3D%20recommended%20tank%20size.</t>
  </si>
  <si>
    <t>Construction cost of rainwater storage tank (commercial building)</t>
  </si>
  <si>
    <t>S$/m3</t>
  </si>
  <si>
    <t xml:space="preserve">
Cost of tank: RM0.5/L, Cost of pipe: RM241/m, Retrofitting cost: RM4000/pipe, converted to SGD using PPP</t>
  </si>
  <si>
    <t>(Lani, 2018)</t>
  </si>
  <si>
    <t>https://www.sciencedirect.com/science/article/abs/pii/S0048969718316176?fr=RR-2&amp;ref=pdf_download&amp;rr=80a8dbd31da3407f</t>
  </si>
  <si>
    <t xml:space="preserve">Consumption rate of Rainwater Harvested </t>
  </si>
  <si>
    <t>m3/year</t>
  </si>
  <si>
    <t>Large building water use average 2012</t>
  </si>
  <si>
    <t>m3/m2/year</t>
  </si>
  <si>
    <t>~20 gallons/ft2/year  / 264.172 gallons/m3 * 10.7639 ft2/m2</t>
  </si>
  <si>
    <t>https://www.eia.gov/consumption/commercial/reports/2012/water/</t>
  </si>
  <si>
    <t>Rainwater Harvesting Tank Cost</t>
  </si>
  <si>
    <t>SGD/ m3</t>
  </si>
  <si>
    <t>Taking the average cost of Rainwater Harvesting Tanks</t>
  </si>
  <si>
    <t>https://www.chaitanyaproducts.com/blog/rainwater-harvesting-tanks-everything-you-need-to-know/</t>
  </si>
  <si>
    <t xml:space="preserve">Rainwater Runoff Coefficient </t>
  </si>
  <si>
    <t>Given that the pavements in Singapore are manufactured to have high runoff for efficient drainage, we assume a conservative runoff coefficient of 90%. Assume runoff coefficient to be the same for rooftops and pavements</t>
  </si>
  <si>
    <t>https://www.harvestingrainwater.com/wp-content/uploads/Appendix3Calculations.pdf</t>
  </si>
  <si>
    <t>Rainfall in Singapore (Average Annual precipitation)</t>
  </si>
  <si>
    <t>mm</t>
  </si>
  <si>
    <t xml:space="preserve">Taking long term average in Singapore due to lack of information on Clementi Region Rainfall. Average increase in Rainfall (year-on-year) is not statistically significant according to the study. </t>
  </si>
  <si>
    <t>https://www.weather.gov.sg/wp-content/uploads/2023/03/ACAR_2022.pdf</t>
  </si>
  <si>
    <t>Rainwater Catchment Capital Cost (installation) per m2</t>
  </si>
  <si>
    <t>SGD/m2</t>
  </si>
  <si>
    <t>Based on Matos study intervention area of 159971 m2, and price per catchment of 274671.14 ("assuming that scenario 13 from study is similar to the system adopted in JLD)</t>
  </si>
  <si>
    <t>(Matos, 2015)</t>
  </si>
  <si>
    <t>Rainwater Catchment Maintenance Costs per year per m2 of catchment area</t>
  </si>
  <si>
    <t>SGD/year/m2</t>
  </si>
  <si>
    <t>Mucking Tank + Pump replacement + Minor fitting replacement + Booster Pump replacement based on 55908 m2 building</t>
  </si>
  <si>
    <t>(Hicks, 2008)</t>
  </si>
  <si>
    <t>Rainwater Catchment Operating Costs (electric), (kWh/m3)</t>
  </si>
  <si>
    <t>kWh/m3</t>
  </si>
  <si>
    <t>1.4 kWh/m3 energy cost from Vieira, to scale to volume of rainwater for this project</t>
  </si>
  <si>
    <t>(Vieira, 2014)</t>
  </si>
  <si>
    <t>Greenery Related Proxies</t>
  </si>
  <si>
    <t>Urban Heat Island, Avoidance of Increased energy usage in SG</t>
  </si>
  <si>
    <t>SGD/person/year/°C</t>
  </si>
  <si>
    <t>2022,2021</t>
  </si>
  <si>
    <t>Visit References Tab</t>
  </si>
  <si>
    <t>Urban Heat Island - avoidance of increased water usage due to 1°C increase in temperature</t>
  </si>
  <si>
    <t>SGD/household/year</t>
  </si>
  <si>
    <t>Greenery maintenance costs</t>
  </si>
  <si>
    <t>Savings in cost of health damage due to improved air quality</t>
  </si>
  <si>
    <t>SGD/m2/yr</t>
  </si>
  <si>
    <t>PM2.5 reduced by 13% when green coverage increases from 10% to 20% (Chen et al., 2019)
Cost of health damage from PM2.5 in SG is $11,922 million (PPP) (World Bank, 2020)</t>
  </si>
  <si>
    <t>(Chen et al., 2019) (WorldBank, 2020)</t>
  </si>
  <si>
    <t>2020, 2019</t>
  </si>
  <si>
    <t>SGD Trillion/kg pm2.5</t>
  </si>
  <si>
    <t>(Heo et al., 2016)</t>
  </si>
  <si>
    <t>https://pubs.acs.org/doi/10.1021/acs.est.5b06125</t>
  </si>
  <si>
    <t>https://www.sciencedirect.com/science/article/pii/S0013935119304840</t>
  </si>
  <si>
    <t>Decrease in percentage of unhappy people due to percent increase in greenery</t>
  </si>
  <si>
    <t>%</t>
  </si>
  <si>
    <t>Unhappiness decreases from 15.5% to 10.2% when local space is &gt; 90% green as opposed to 10% green.</t>
  </si>
  <si>
    <t>(Maas, 2006)</t>
  </si>
  <si>
    <t>Urban Heat Island - reduction in associated healthcare costs</t>
  </si>
  <si>
    <t>SGD/°C/person/year</t>
  </si>
  <si>
    <t>2021,2019</t>
  </si>
  <si>
    <t>Mobility Related Proxies</t>
  </si>
  <si>
    <t>Reduction in Life Happiness for every increase in travel time by a min</t>
  </si>
  <si>
    <t>Reduction in life happiness per congestion index</t>
  </si>
  <si>
    <t>(Han et al., 2022)</t>
  </si>
  <si>
    <t>https://www.ncbi.nlm.nih.gov/pmc/articles/PMC9819363/</t>
  </si>
  <si>
    <t>Congestion index for path between Clementi Station tot the Faculty of Science</t>
  </si>
  <si>
    <t>Estimated using information from the Project Brief Document</t>
  </si>
  <si>
    <t>Congestion index for path between PGP and NUS Engineering E1</t>
  </si>
  <si>
    <t>Cost Savings due to improved mental health, yearly</t>
  </si>
  <si>
    <t>SGD/person/year</t>
  </si>
  <si>
    <t>Cost savings on Health due to improved mental wellbeing</t>
  </si>
  <si>
    <t>SGD/ person/ mental wellbeing point/ year</t>
  </si>
  <si>
    <t>Mental Wellbeing is measured on a continuous scale using the WEMWBS.</t>
  </si>
  <si>
    <t>(Santini et al., 2021)</t>
  </si>
  <si>
    <t>https://www.ncbi.nlm.nih.gov/pmc/articles/PMC8318969/#:~:text=Higher%20mental%20well%2Dbeing%20(on,41.9%2C%20%24%E2%88%92%204.3)%20per</t>
  </si>
  <si>
    <t>Cost savings on healthcare due to lower risk of accidents from pedestrian and vehicular traffic</t>
  </si>
  <si>
    <t>Construction cost per kilometer of monorail</t>
  </si>
  <si>
    <t>SGD/km</t>
  </si>
  <si>
    <t>Used Sentosa as a benchmark for the construction cost. It's the most like for like comparison (Singapore, elevated monorail as well)</t>
  </si>
  <si>
    <t>wikipedia, 2023</t>
  </si>
  <si>
    <t>Taken from Overseas study benchmark</t>
  </si>
  <si>
    <t>Health benefits due to cycling</t>
  </si>
  <si>
    <t>SGD /km</t>
  </si>
  <si>
    <t>https://cyclingsolutions.info/cost-benefit-of-cycling-infrastructure/</t>
  </si>
  <si>
    <t>Frequency of trips per year (to NUS and back to residential estates)</t>
  </si>
  <si>
    <t>no.s</t>
  </si>
  <si>
    <t xml:space="preserve">number of weekdays in a year </t>
  </si>
  <si>
    <t>Frequency of trips per year (to NUS and back to residential estates) (campus residents)</t>
  </si>
  <si>
    <t>number of weeks in a year, assume only one trip to and from the residential estates are made once a week for those who stay on campus</t>
  </si>
  <si>
    <t>Distance of cycling per trip</t>
  </si>
  <si>
    <t>km</t>
  </si>
  <si>
    <t>Assume that these are the 2 most common routes and are equally travelled by NUS Staff and students</t>
  </si>
  <si>
    <t>Percentage willing to cycle to work/ school</t>
  </si>
  <si>
    <t>Percentage of Singaporeans above 13 that have cycled in the past 4 weeks taken to be the proportion more willing to cycle to work or school when necessary infrastructure is in okace</t>
  </si>
  <si>
    <t>(Chua, 2022)</t>
  </si>
  <si>
    <t>https://www.straitstimes.com/singapore/homeground-so-many-leisure-cyclists-what-will-nudge-more-to-cycle-to-work</t>
  </si>
  <si>
    <t>Bicycle accident costs</t>
  </si>
  <si>
    <t>Cost to Society for every kilometer driven by car with less than 2 passengers</t>
  </si>
  <si>
    <t xml:space="preserve">Assume all car trips made in NUS carry less than 3 passengers. </t>
  </si>
  <si>
    <t>(Garrett, n.d.)</t>
  </si>
  <si>
    <t xml:space="preserve">Percentage reduction in cars driven on campus </t>
  </si>
  <si>
    <t>Assume percentage of people that drive to work in Singapore is the same for percentage of NUS Staff and students that drive to school and work. Also assume that there is equal likelihood that those who drive to NUS and those that currently take public transport will switch to cycling.</t>
  </si>
  <si>
    <t>(Kok, 2021)</t>
  </si>
  <si>
    <t>https://www.straitstimes.com/singapore/more-spore-residents-take-trains-and-buses-to-work-fewer-drive-to-the-office-population#:~:text=The%20proportion%20of%20those%20who,travelled%20to%20work%20and%20school.</t>
  </si>
  <si>
    <t>Distance between PGP and NUS Engineering E1 (Car)</t>
  </si>
  <si>
    <t>Distance between Clementi MRT and S15 Science Faculty</t>
  </si>
  <si>
    <t>Increase in social participation (in common spaces) due to increased connectivity (via public transport and bicycle)</t>
  </si>
  <si>
    <t>Increase in connectivity (driverless shuttle, monorail, cycling, bus)</t>
  </si>
  <si>
    <t>Assume minimal connnectivity via current campus buses. Take the change in time taken to travel the 2 routes to be the increase in connectivity via public transport.</t>
  </si>
  <si>
    <t>Value to Society for every kilometer walked</t>
  </si>
  <si>
    <t>DKK/km</t>
  </si>
  <si>
    <t>Blue-Green-Space Related Proxies</t>
  </si>
  <si>
    <t>Nparks 2020 staff costs, yearly</t>
  </si>
  <si>
    <t>?</t>
  </si>
  <si>
    <t>Nparks 2020 greenery maintenance costs, yearly</t>
  </si>
  <si>
    <t>Nparks 2020 general and admin expenses, yearly</t>
  </si>
  <si>
    <t>Nparks depreciation  on PPE, yearly</t>
  </si>
  <si>
    <t>Construction cost for sports/leisure facilities</t>
  </si>
  <si>
    <t>Based on CFA = Construction Floor Area measured to the outside face of the external walls/perimeter. (To be) adjusted for future inflation.
Sports clubs, multi purpose sports/leisure centres. Average of SG$2,445-2,595.</t>
  </si>
  <si>
    <t>(Arcadis, 2022)</t>
  </si>
  <si>
    <t>Construction cost for walkways</t>
  </si>
  <si>
    <t>SG$2,100 adjusted to 2020 using Singapore's inflation rate from 2019-2021.</t>
  </si>
  <si>
    <t>(MOT, 2018)</t>
  </si>
  <si>
    <t>NParks operational expenses</t>
  </si>
  <si>
    <t>(To be) Adjusted for future inflation.</t>
  </si>
  <si>
    <t>Npakrs maintained area</t>
  </si>
  <si>
    <t>m2</t>
  </si>
  <si>
    <t>From NParks Annual Report 2020/21.</t>
  </si>
  <si>
    <t>NParks, 2021</t>
  </si>
  <si>
    <t>Operational cost per m2</t>
  </si>
  <si>
    <t>Cost per meter squared per year to build Bishan Park</t>
  </si>
  <si>
    <t>SGD/m2/year</t>
  </si>
  <si>
    <t>land8, 2015</t>
  </si>
  <si>
    <t>https://land8.com/how-bishan-park-became-the-central-park-of-singapore/</t>
  </si>
  <si>
    <t>Public Space Related Proxies</t>
  </si>
  <si>
    <t>Reduction in distance away from Public Space</t>
  </si>
  <si>
    <t>m</t>
  </si>
  <si>
    <t xml:space="preserve">Decrease in mortality due to increase in exercise </t>
  </si>
  <si>
    <t>A minimum of 300mins of exercise a week reduces all-cause mortality by 26%</t>
  </si>
  <si>
    <t>https://www.cnbc.com/2022/08/30/this-is-how-much-you-should-exercise-to-achieve-the-maximum-benefit.html</t>
  </si>
  <si>
    <t>increase in vigorous exercise per metre distance reduced between green space and residence</t>
  </si>
  <si>
    <t>%/m</t>
  </si>
  <si>
    <t>vigorous exercise being 5 or more times a week of exercise</t>
  </si>
  <si>
    <t>https://ajph.aphapublications.org/doi/full/10.2105/AJPH.2005.072447</t>
  </si>
  <si>
    <t xml:space="preserve">Increase in productivity due to Increased Sense of Belonging in NUS </t>
  </si>
  <si>
    <t>(Carr et al., 2019)</t>
  </si>
  <si>
    <t>https://hbr.org/2019/12/the-value-of-belonging-at-work</t>
  </si>
  <si>
    <t>Increase in sense of belonging due to increase in public space</t>
  </si>
  <si>
    <t>Using Closeness as a benchmark for sense of belonging and greenspace usage for public space</t>
  </si>
  <si>
    <t>https://bmcpublichealth.biomedcentral.com/articles/10.1186/s12889-021-11553-7</t>
  </si>
  <si>
    <t>Increase in Overall Wellbeing with increase in neighbourhood cohesion and social support</t>
  </si>
  <si>
    <t xml:space="preserve">See Table S2 of Supplementary Materials in the study for more conetxt. </t>
  </si>
  <si>
    <t>Increase in Overall Wellbeing with increase in green space</t>
  </si>
  <si>
    <t>Increase in Overall Wellbeing with increase in health</t>
  </si>
  <si>
    <t xml:space="preserve">Increase in Happiness due to participation in activities in common areas </t>
  </si>
  <si>
    <t>Increase in social participation (in common spaces) due to increase in public space</t>
  </si>
  <si>
    <t xml:space="preserve">Increase in productivity due to higher levels of happiness </t>
  </si>
  <si>
    <t>(White, 2023)</t>
  </si>
  <si>
    <t>https://www.hcamag.com/au/specialisation/employee-engagement/happiness-linked-to-increased-productivity-in-study/438382#:~:text=Being%20happy%20and%20fulfilled%20at,work%20increased%20productivity%20by%2012%25.</t>
  </si>
  <si>
    <t>Increase in Productivity due to increased physical activity</t>
  </si>
  <si>
    <t xml:space="preserve">This improves the adult population physical activity levels so that
everyone below the recommended 150 minutes of moderate-intensity or 75 minutes
of vigorous-intensity physical activity per week (or the equivalent of about 600
MET-minutes per week) reaches this threshold and everyone above this threshold
improves their physical activity level by 20 per cent. Scenario 3 is essentially a
combination of scenarios 1 and 2. It represents a scenario whereby those individuals
with a sedentary or low physically active lifestyle become active and those who are
already active improve their activity levels as well. </t>
  </si>
  <si>
    <t>https://www.rand.org/pubs/research_reports/RR4291.html</t>
  </si>
  <si>
    <t>Units</t>
  </si>
  <si>
    <t>Sensitivity / Scenario</t>
  </si>
  <si>
    <t>Remarks</t>
  </si>
  <si>
    <t>Global Project Assumptions and Parameters</t>
  </si>
  <si>
    <t>Total Area of NUS Campus (GFA)</t>
  </si>
  <si>
    <t>No</t>
  </si>
  <si>
    <t>Note: This is GFA (m2)</t>
  </si>
  <si>
    <t>Total Increase in Blue-Green / Public Space Area</t>
  </si>
  <si>
    <t>Yes</t>
  </si>
  <si>
    <t>49*10000*1.5</t>
  </si>
  <si>
    <t>Current Public Space</t>
  </si>
  <si>
    <t>Target Public Space</t>
  </si>
  <si>
    <t>Years required to finish Construction of Park</t>
  </si>
  <si>
    <t>yr</t>
  </si>
  <si>
    <t>Discount Rate</t>
  </si>
  <si>
    <t>pct</t>
  </si>
  <si>
    <t>Varies drastically and there is no universal agreement on what it should be unlike WACC. Ranges from the risk free rate to even up to 30%. We do 3 - 10%</t>
  </si>
  <si>
    <t>https://escholarship.org/content/qt6xp540hs/qt6xp540hs_noSplash_3660a1520f9f4c194c4bcfbce707b070.pdf</t>
  </si>
  <si>
    <t>Student Population</t>
  </si>
  <si>
    <t>no</t>
  </si>
  <si>
    <t>Total Area of NUS Campus</t>
  </si>
  <si>
    <t xml:space="preserve">Current distance away from public space </t>
  </si>
  <si>
    <t>New distance away from Public space</t>
  </si>
  <si>
    <t>Distance of Cycling paths (PGP to NUS Engineering E1)</t>
  </si>
  <si>
    <t>Distance of Cycling paths (Clementi MRT to Science Faculty S15)</t>
  </si>
  <si>
    <t>Campus Residents (Students)</t>
  </si>
  <si>
    <t xml:space="preserve">assume steady state </t>
  </si>
  <si>
    <t>https://uci.nus.edu.sg/wp-content/uploads/2019/12/FA_190419_INOUT2Aug2019.pdf</t>
  </si>
  <si>
    <t>Energy Related Assumptions and Parameters</t>
  </si>
  <si>
    <t>Current Energy Demand</t>
  </si>
  <si>
    <t>(kwh/yr)</t>
  </si>
  <si>
    <t>Current Energy Supply by Existing Solar PV</t>
  </si>
  <si>
    <t>Demand Reduced by Current District Cooling System</t>
  </si>
  <si>
    <t>Proposed Energy supply by additional rooftop solar PV</t>
  </si>
  <si>
    <t>Proposed Energy supply by façade solar PV</t>
  </si>
  <si>
    <t>Proposed Energy supply by wind turbine with rooftop PV</t>
  </si>
  <si>
    <t>Average No. of working hours per year - rooftop solar PV</t>
  </si>
  <si>
    <t>hrs</t>
  </si>
  <si>
    <t>https://unboundsolar.com/solar-information/sun-hours-us-map</t>
  </si>
  <si>
    <t>Average No. of working hours per year - facade solar PV</t>
  </si>
  <si>
    <t xml:space="preserve">Average No. of working hours per year - wind turbine </t>
  </si>
  <si>
    <t>Capacity Factor of solar PV</t>
  </si>
  <si>
    <t>Capacity Factor of wind turbine</t>
  </si>
  <si>
    <t>Peak power of rooftop solar PV</t>
  </si>
  <si>
    <t>Peak power of facade solar PV</t>
  </si>
  <si>
    <t>Peak power of wind turbine</t>
  </si>
  <si>
    <t>Proposed additional demand reduced by district cooling system</t>
  </si>
  <si>
    <t>PV deterioration factor</t>
  </si>
  <si>
    <t>(pct/yr)</t>
  </si>
  <si>
    <t>Do not do sensitivity analysis on this since it does not greatly affect the SROI. Ranges from 0.3% - 1%</t>
  </si>
  <si>
    <t>https://www.nrel.gov/state-local-tribal/blog/posts/stat-faqs-part2-lifetime-of-pv-panels.html</t>
  </si>
  <si>
    <t>Construction Cost of Wind Turbine Scaling Factor</t>
  </si>
  <si>
    <t>Maintenance Cost of Solar PV Scaling Factor</t>
  </si>
  <si>
    <t>Construction Cost of Solar PV Scaling Factor</t>
  </si>
  <si>
    <t>Water Related Assumptions and Parameters</t>
  </si>
  <si>
    <t>Rainwater Harvesting from Building Roofs to meet Potable Water Demand</t>
  </si>
  <si>
    <t>Rainwater Harvesting from Ground Surfaces to meet Non-Potable Water Demand</t>
  </si>
  <si>
    <t>Grey Water Recyclying to use as Non-Potable Water</t>
  </si>
  <si>
    <t>m3.</t>
  </si>
  <si>
    <t>% Area of NUS attributable to rainwater Catchment</t>
  </si>
  <si>
    <t xml:space="preserve">Rooftop and Ground area for collection of Rainwater </t>
  </si>
  <si>
    <t>formula used for estimation: Rainwater Harvesting (L) = Average Rainfall (mm) * Area of Collection (m2)</t>
  </si>
  <si>
    <t>https://nationalpolyindustries.com.au/2018/06/14/calculating-the-amount-of-rainwater-capturable-from-your-roof/</t>
  </si>
  <si>
    <t>Mobility Related Assumptions and Parameters</t>
  </si>
  <si>
    <t>Years required to finish construction of monorail</t>
  </si>
  <si>
    <t>Total length of monorail system</t>
  </si>
  <si>
    <t>Cost of maintenance of monorial / km scaling pct</t>
  </si>
  <si>
    <t>Proxied by overseas monorial specifications. Cost will vary.</t>
  </si>
  <si>
    <t>Greenery Related Assumptions and Parameters</t>
  </si>
  <si>
    <t>Participation rate for Greenery</t>
  </si>
  <si>
    <t>Because not 100% of the student and staff population will utilize the benefits of greenery (due to limited number of days coming to campus, or not staying in campus, or not spending significant time outside of campus, we will need to scale the "effective number of people" that will accrue the benefits (mental, physical etc) by a certain percentage.</t>
  </si>
  <si>
    <t>Scaling factor for % of population estimates (Greenery)</t>
  </si>
  <si>
    <t>We routinely estimate participation rates using metrics like %willing to participate in public spaces etc</t>
  </si>
  <si>
    <t>Public Space Related Assumptions and Parameters</t>
  </si>
  <si>
    <t>Participation rate for Public Spaces</t>
  </si>
  <si>
    <t>Because not 100% of the student and staff population will utilize the benefits of public spaces (due to limited number of days coming to campus, or not staying in campus, or not spending significant time outside of campus, we will need to scale the "effective number of people" that will accrue the benefits (mental, physical etc) by a certain percentage</t>
  </si>
  <si>
    <t>Scaling factor for % of population estimates (Public Spaces)</t>
  </si>
  <si>
    <t>We routinely estimate participation rates using metrics like %willing to participate in public spaces etc.</t>
  </si>
  <si>
    <t>Benefits, Costs, Investments Table</t>
  </si>
  <si>
    <t>S/N</t>
  </si>
  <si>
    <t>Outcome / Input</t>
  </si>
  <si>
    <t>Category</t>
  </si>
  <si>
    <t>Affected Stakeholder</t>
  </si>
  <si>
    <t>Benefit / Cost / Investment?</t>
  </si>
  <si>
    <t>Valuation Logic</t>
  </si>
  <si>
    <t>Metric 1</t>
  </si>
  <si>
    <t>Metric 2</t>
  </si>
  <si>
    <t>Metric 3</t>
  </si>
  <si>
    <t>Metric 4</t>
  </si>
  <si>
    <t>Metric 5</t>
  </si>
  <si>
    <t>Calculation</t>
  </si>
  <si>
    <t>Period</t>
  </si>
  <si>
    <t>Savings from generation of Potable Water Supply</t>
  </si>
  <si>
    <t>Water</t>
  </si>
  <si>
    <t>Benefit</t>
  </si>
  <si>
    <t>Cost of water * self-generated potable water supply</t>
  </si>
  <si>
    <t>Project Period</t>
  </si>
  <si>
    <t>Savings from generation of non-potable water supply</t>
  </si>
  <si>
    <t>Cost of water * self-generated non-potable water supply</t>
  </si>
  <si>
    <t>Water generation maintenance cost from (rainwater harvesting)</t>
  </si>
  <si>
    <t>Cost</t>
  </si>
  <si>
    <t>electricty maintenance cost of rainwater catchment facility (calculated by m3 of supply, kWh needed per m3, and electricity tariff per kWh) + estimated catchment area * maintenance cost per m2</t>
  </si>
  <si>
    <t>Water generation set up costs (rainwater harvesting)</t>
  </si>
  <si>
    <t>Investment</t>
  </si>
  <si>
    <t>Installation cost per m2
x estimated catchment area</t>
  </si>
  <si>
    <t>Year 0</t>
  </si>
  <si>
    <t>Water generation maintenance costs (greywater treatment)</t>
  </si>
  <si>
    <t>Water generation set up costs (greywater treatment)</t>
  </si>
  <si>
    <t>Cost of installing rooftop solar PV system</t>
  </si>
  <si>
    <t>Energy</t>
  </si>
  <si>
    <t xml:space="preserve"> </t>
  </si>
  <si>
    <t>Cost of operating and maintaining rooftop solar PV system</t>
  </si>
  <si>
    <t>Year 1-30</t>
  </si>
  <si>
    <t>Cost of installing facade solar PV system</t>
  </si>
  <si>
    <t>Cost of operating and maintaining facade solar PV system</t>
  </si>
  <si>
    <t>Cost of installing wind turbine</t>
  </si>
  <si>
    <t>Cost of operating and maintaining wind turbine</t>
  </si>
  <si>
    <t>Decrease in electricity bill through in-house rooftop PV</t>
  </si>
  <si>
    <r>
      <t xml:space="preserve">Electricity supplied by in-house rooftop PV </t>
    </r>
    <r>
      <rPr>
        <sz val="11"/>
        <color rgb="FF000000"/>
        <rFont val="Calibri"/>
        <family val="2"/>
      </rPr>
      <t xml:space="preserve">* SP electricity tariff, GST included </t>
    </r>
  </si>
  <si>
    <t>Decrease in electricity bill through in-house facade PV</t>
  </si>
  <si>
    <r>
      <t xml:space="preserve">Electricity supplied by in-house facade PV </t>
    </r>
    <r>
      <rPr>
        <sz val="11"/>
        <color rgb="FF000000"/>
        <rFont val="Calibri"/>
        <family val="2"/>
      </rPr>
      <t xml:space="preserve">* SP electricity tariff, GST included </t>
    </r>
  </si>
  <si>
    <t>Decrease in electricity bill through in-house wind turbine</t>
  </si>
  <si>
    <r>
      <t>Electricity supplied by in-house wind turbine</t>
    </r>
    <r>
      <rPr>
        <sz val="11"/>
        <color rgb="FF000000"/>
        <rFont val="Calibri"/>
        <family val="2"/>
      </rPr>
      <t xml:space="preserve">* SP electricity tariff, GST included </t>
    </r>
  </si>
  <si>
    <t>Increase in physical health due to greenery, vertical green and rooftop green</t>
  </si>
  <si>
    <t>Greenery</t>
  </si>
  <si>
    <t>NUS Student and Staff</t>
  </si>
  <si>
    <t>=NUS Staff and Students* Health cost reduction due to improved air quality*Co2 sequestration change</t>
  </si>
  <si>
    <t>Increase in mental health due to greenery, vertical green and rooftop green</t>
  </si>
  <si>
    <t xml:space="preserve">=NUS Student and Staff*Proportion with mental health issues*Costs of mental health treatment*% Reduction in costs* Change in % Greenery </t>
  </si>
  <si>
    <t>Increase in physical health due to less Urban heat island health costs</t>
  </si>
  <si>
    <t>=Reduction in  healthcare costs per degree change in Urban Heat Island *Degree change in Urban Heat Island*Nus staff and students</t>
  </si>
  <si>
    <t>Energy avoidance for Urban heat island reduction</t>
  </si>
  <si>
    <t>=Reduction in Urban heat island*Nus staff and students*Energy avoidance costs</t>
  </si>
  <si>
    <t>Greenery, Rooftop green and Vertical Green maintenance costs</t>
  </si>
  <si>
    <t>=Maintenance costs per m2*Change in green space</t>
  </si>
  <si>
    <t>Water Cost avoidance for Urban heat island reduction</t>
  </si>
  <si>
    <t>=Reduction in Urban heat island*Nus staff and students*Water avoidance costs</t>
  </si>
  <si>
    <t>Increase in productivity due to more Efficient transport system</t>
  </si>
  <si>
    <t>Mobility</t>
  </si>
  <si>
    <t>=Nus staff and student *% Increase in health*Productivity in dollar terms*Travel time saved</t>
  </si>
  <si>
    <t>Increase in wellbeing due to less Congestion</t>
  </si>
  <si>
    <t>=% Decrease in congestion*Cost of mental health services in a year*Nus staff and student *Increase in mental wellbeing per decrease in Congestion Index</t>
  </si>
  <si>
    <t>Cost of monorial construction</t>
  </si>
  <si>
    <t>monorail construction cost per km * estimated km of monorial</t>
  </si>
  <si>
    <t>Project Year 0</t>
  </si>
  <si>
    <t>Cost of maintaining monorail</t>
  </si>
  <si>
    <t>monorail maintenance cost per km * estimated km of monorial</t>
  </si>
  <si>
    <t>Cost of Rainwater Harvesting Tanks</t>
  </si>
  <si>
    <t>=Cost of Tank*Size of Tank required</t>
  </si>
  <si>
    <t>increase in community bonding (neighbourhood cohesion) due to public spaces</t>
  </si>
  <si>
    <t>Public Space</t>
  </si>
  <si>
    <t>=student and staff  population*time spent in community bonding*%increase in wellbeing due to stronger community and support network*%willing to participate in community activities</t>
  </si>
  <si>
    <t>increase in health due to more active lifestyles with more public space</t>
  </si>
  <si>
    <t>=student and staff population*increase in vigorous exercise*decrease in distance from public space*health cost avoided from better health from exercising regularly</t>
  </si>
  <si>
    <t>increase in health due to more cycling</t>
  </si>
  <si>
    <t xml:space="preserve">=student and staff population* % willing to cycle*%increase in health from cycling distance*cycling trip distance *cyclilng frequency*health costs </t>
  </si>
  <si>
    <t>Cost avoidance from Reduction in Cars Driven on Campus</t>
  </si>
  <si>
    <t>=(off campus population*frequency of trips+on campus population*frequency of trips)*percentage reduction in cars driven on campus*cost to society for every kilomenter driven by car*average distance driven on campus*frequency of trips in a year</t>
  </si>
  <si>
    <t>increase in social participation due to increased pubic spaces</t>
  </si>
  <si>
    <t>=nus student and staff* % increase in public space* increase in happiness due to social participation * increase in social participation due to public space* increase in productivity* gdp per capita</t>
  </si>
  <si>
    <t>increase in social participation due to increased  connectivity</t>
  </si>
  <si>
    <t>=nus student and staff* % increase in Connectivity* increase in happiness due to social participation * increase in social participation due to connectivity* increase in productivity* gdp per capita</t>
  </si>
  <si>
    <t>Discount rate</t>
  </si>
  <si>
    <t>Inflation rate</t>
  </si>
  <si>
    <t>Bold Cells at  bottom indicate that these are cells directly linked to other sheet</t>
  </si>
  <si>
    <t>SROI Calculation</t>
  </si>
  <si>
    <t>0 - 30 &gt;&gt;&gt;</t>
  </si>
  <si>
    <t>Year</t>
  </si>
  <si>
    <t>PV</t>
  </si>
  <si>
    <t>Benefits</t>
  </si>
  <si>
    <t>Costs</t>
  </si>
  <si>
    <t>Water generation maintenance cost (rainwater harvesting)</t>
  </si>
  <si>
    <t>Investments</t>
  </si>
  <si>
    <t>Construction Cost</t>
  </si>
  <si>
    <t>Cost of maintaining monorial</t>
  </si>
  <si>
    <t>Total Social Benefit</t>
  </si>
  <si>
    <t>Total Social Cost</t>
  </si>
  <si>
    <t>Total Investment Required</t>
  </si>
  <si>
    <t>SROI</t>
  </si>
  <si>
    <t>Targets in (kwh/yr)</t>
  </si>
  <si>
    <t>Energy Demand</t>
  </si>
  <si>
    <t>Existing</t>
  </si>
  <si>
    <t>Target</t>
  </si>
  <si>
    <t>Energy Supply</t>
  </si>
  <si>
    <t>Intervention Details</t>
  </si>
  <si>
    <t>Generate 197 million kWh from Rooftop Solar PV. Currently only 0.6 million. This means 176.4 million kWh new rooftop solar PV</t>
  </si>
  <si>
    <t>Generate 11 million kWh from Proposed Façade Solar PV</t>
  </si>
  <si>
    <t>Generate 18 million kWh from proposed wind turbine with rooftop PV</t>
  </si>
  <si>
    <t>Reduce demand by 26 million kWh by new district cooling systems</t>
  </si>
  <si>
    <t>Intervention Benefits</t>
  </si>
  <si>
    <t>Intervention Costs</t>
  </si>
  <si>
    <t>Targets in sqm(area) , nos(trees), kgCO2eq/yr (sequestration) &amp; temperature (degree celsius)</t>
  </si>
  <si>
    <t>Green Area</t>
  </si>
  <si>
    <t>Existing Green space</t>
  </si>
  <si>
    <t>sqm</t>
  </si>
  <si>
    <t>Current Campus Space</t>
  </si>
  <si>
    <t>Target Green Space</t>
  </si>
  <si>
    <t>Target Vertical Green</t>
  </si>
  <si>
    <t>Target Rooftop Green</t>
  </si>
  <si>
    <t>Number of Trees</t>
  </si>
  <si>
    <t>nos</t>
  </si>
  <si>
    <t>CO2 Sequestration</t>
  </si>
  <si>
    <t xml:space="preserve">Target </t>
  </si>
  <si>
    <t>kgCO2eq/yr</t>
  </si>
  <si>
    <t>Urban Heat Island</t>
  </si>
  <si>
    <t>degree celsius</t>
  </si>
  <si>
    <t>Targets in (sqm)</t>
  </si>
  <si>
    <t>Public Space Area</t>
  </si>
  <si>
    <t>based on 38000 steady state</t>
  </si>
  <si>
    <t>Public Space Area per person</t>
  </si>
  <si>
    <t>Targets in (minutes)</t>
  </si>
  <si>
    <t>TIME TO TRAVEL FROM CLEMENTI MRT TO Faculty of Science</t>
  </si>
  <si>
    <t>TIME TO TRAVEL FROM PGP to NUS Engineering E1</t>
  </si>
  <si>
    <t>Targets in (m3/yr)</t>
  </si>
  <si>
    <t>Potable Water Demand</t>
  </si>
  <si>
    <t>Non-Potable Water Demand</t>
  </si>
  <si>
    <t>Total Water Demand</t>
  </si>
  <si>
    <t>Targetted On-Campus Water Generation</t>
  </si>
  <si>
    <t>Rainwater Harvesting from Ground Surfaces (Roads, pavements, landscape etc) to meet Non-Potable Water Demand</t>
  </si>
  <si>
    <t>Grey Water Recylcying to use as Non-Potable Water</t>
  </si>
  <si>
    <t>Scenario Analysis</t>
  </si>
  <si>
    <t>Scenario</t>
  </si>
  <si>
    <t>Default</t>
  </si>
  <si>
    <t>Worst Case</t>
  </si>
  <si>
    <t>Best Case</t>
  </si>
  <si>
    <t xml:space="preserve">Discount Rate </t>
  </si>
  <si>
    <t>Public Space Participation Rate</t>
  </si>
  <si>
    <t>Greenery Participation Rate</t>
  </si>
  <si>
    <t>Sensitivity Analysis</t>
  </si>
  <si>
    <t>Assumption</t>
  </si>
  <si>
    <t>Notes</t>
  </si>
  <si>
    <t>Inflation, Discount, Exchange, and Other Rates; GDP</t>
  </si>
  <si>
    <t>Risk Free Rate (10 Year SG Bond Yield), discount  rate</t>
  </si>
  <si>
    <t>1Q2022 10 year bond yield. Refer to Group 4Discount Rate Calculations Tab</t>
  </si>
  <si>
    <t>(MAS, 2022)</t>
  </si>
  <si>
    <t>USDSGD exchange raate</t>
  </si>
  <si>
    <t>Value of 1 USD in SGD</t>
  </si>
  <si>
    <t>(XE, 2022a)</t>
  </si>
  <si>
    <t>GBPSGD exchange rate</t>
  </si>
  <si>
    <t>Value of 1 GBP in SGD</t>
  </si>
  <si>
    <t>(XE, 2022b)</t>
  </si>
  <si>
    <t>AUDSGD exchange rate</t>
  </si>
  <si>
    <t>Value of 1 AUD in SGD</t>
  </si>
  <si>
    <t>(XE, 2022c)</t>
  </si>
  <si>
    <t>GST (2022)</t>
  </si>
  <si>
    <t>Based on Singapore Budget 2022</t>
  </si>
  <si>
    <t>(Han, 2022)</t>
  </si>
  <si>
    <t>GST (2023)</t>
  </si>
  <si>
    <t>GST (2024 onward)</t>
  </si>
  <si>
    <t>Effective property tax rate</t>
  </si>
  <si>
    <t>Assume taxes will only be collected beyond 2024.</t>
  </si>
  <si>
    <t>Median residential - owner-occupied tax rate</t>
  </si>
  <si>
    <t>Based on tax structure data from worksheet in Public Space workbook</t>
  </si>
  <si>
    <t>Median residential - non-owner-occupied tax rate</t>
  </si>
  <si>
    <t>Singapore GDP 2021</t>
  </si>
  <si>
    <t>(Singstat, 2022a)</t>
  </si>
  <si>
    <t xml:space="preserve">GDP growth rate contributed by labour income growth </t>
  </si>
  <si>
    <t>(OECD, 2012)</t>
  </si>
  <si>
    <t>Learning Environment Data</t>
  </si>
  <si>
    <t>Percentage of university graduates in Singapore</t>
  </si>
  <si>
    <t>(Ong, 2021)</t>
  </si>
  <si>
    <t>Attribution to social and psychological aspects of learning environment</t>
  </si>
  <si>
    <t>Learning environment consists of physical, social, and psychological aspects. Each aspect constitutes an equal part to the learning environment</t>
  </si>
  <si>
    <t>(Vermeulen, 2008)</t>
  </si>
  <si>
    <t>Population and housing data</t>
  </si>
  <si>
    <t>Singapore Population</t>
  </si>
  <si>
    <t>(NPTD, 2021)</t>
  </si>
  <si>
    <t>Singapore Population Yearly Growth Rate</t>
  </si>
  <si>
    <t>10 year pre-COVID pandemic average (2011-2020)</t>
  </si>
  <si>
    <t>(World Bank, 2022b)</t>
  </si>
  <si>
    <t>No. of residents currently in JLD</t>
  </si>
  <si>
    <t xml:space="preserve">Negligible new residents </t>
  </si>
  <si>
    <t>This was put as (Citypopulation, 2022) and (Singstat, 2021), but I can't find this exact number easily, even by summing populations of included and nearby districts.</t>
  </si>
  <si>
    <t>2021
2022</t>
  </si>
  <si>
    <t>Source?</t>
  </si>
  <si>
    <t>Jurong East Population</t>
  </si>
  <si>
    <t>#</t>
  </si>
  <si>
    <t>(Singstat, 2021)</t>
  </si>
  <si>
    <t>Jurong West Population</t>
  </si>
  <si>
    <t>Singapore population density</t>
  </si>
  <si>
    <t>#/km2</t>
  </si>
  <si>
    <t>2021 Figure</t>
  </si>
  <si>
    <t>Average Singapore Household size</t>
  </si>
  <si>
    <t>Based on SingStat Figures (2020)</t>
  </si>
  <si>
    <t>(Singstat, 2021b)</t>
  </si>
  <si>
    <t>Proportion of owner-occupied resident households</t>
  </si>
  <si>
    <t>(Singstat, 2021a)</t>
  </si>
  <si>
    <t>Proportion of population living in Public Housing (HDB Flats)</t>
  </si>
  <si>
    <t>Based on SingStat Figures (2019) As percentage of non-Landed 78.7/(78.7+16)</t>
  </si>
  <si>
    <t>Proportion of population living in Private Housing (Condo)</t>
  </si>
  <si>
    <t>Based on SingStat Figures (2019) As percentage of non-Landed 16/(78.7+16)</t>
  </si>
  <si>
    <t>Average Size of Public Housing in Singapore</t>
  </si>
  <si>
    <t>sqft</t>
  </si>
  <si>
    <t>(Evlanova, 2022)</t>
  </si>
  <si>
    <t>Not sure about source reliability</t>
  </si>
  <si>
    <t>Average Size of Private Housing (Condo) in SG</t>
  </si>
  <si>
    <t>Average price psf of Public Housing in Singapore</t>
  </si>
  <si>
    <t>SGD/sqft</t>
  </si>
  <si>
    <t>Average price psf of Private Housing (Condo) in SG</t>
  </si>
  <si>
    <t>Weighted average home price</t>
  </si>
  <si>
    <t>Based on SingStat Figures (2019) and valuechampion (2022) As percentage of non-Landed</t>
  </si>
  <si>
    <t>(Singstat, 2021b)
(Evlanova, 2022)</t>
  </si>
  <si>
    <t>Public Housing price growth rate 2021</t>
  </si>
  <si>
    <t>From 1yr inc in PropertyGuru SG Property Market Report Q1 2022 (Q4 2020 to Q4 2021)</t>
  </si>
  <si>
    <t>(PropertyGuru, 2022)</t>
  </si>
  <si>
    <t>Private (Condo) Housing Price growth rate 2021</t>
  </si>
  <si>
    <t>Private (Landed) Housing Price growth rate 2021</t>
  </si>
  <si>
    <t>Foot traffic/number of general public visiting</t>
  </si>
  <si>
    <t>Residents in West region (1mil)</t>
  </si>
  <si>
    <t>(STB, 2022)</t>
  </si>
  <si>
    <t>Proportion of households within ~350m of nature-based public space</t>
  </si>
  <si>
    <t>Assume half of JLD is already within ~350m of an urban space, based on existing floor plans.</t>
  </si>
  <si>
    <t>Proportion of households that are between 400-600m from nature-based public space</t>
  </si>
  <si>
    <t>SDE design puts all locations within 5-minute walk from urban space
Average walking speed in Singapore is 74m/min. All households will be within ~350m of an urban space.
Assume equal split of households between 400-600m and 600-800m from nature-based public space.</t>
  </si>
  <si>
    <t>NUS SDE
(Tanaboriboon, 1986)</t>
  </si>
  <si>
    <t>Proportion of households that are between 600-800m from nature-based public space</t>
  </si>
  <si>
    <t>Water, Land, Food, and Tourism Data</t>
  </si>
  <si>
    <t>Price of water for all systems</t>
  </si>
  <si>
    <t>(PUB, 2022)</t>
  </si>
  <si>
    <t>Reduction in water consumption per capita per year</t>
  </si>
  <si>
    <t>m3/person/year</t>
  </si>
  <si>
    <t>Reduction in water consumption per capita per year from 2013 to 2019</t>
  </si>
  <si>
    <t>(MSE, 2022)</t>
  </si>
  <si>
    <t>Percentage of residents who reduce water consumption when water literacy improved</t>
  </si>
  <si>
    <t>% of respondents who reduced water use when water consumption literacy improved</t>
  </si>
  <si>
    <t xml:space="preserve"> (Hoey, 2020)</t>
  </si>
  <si>
    <t>Attribution to PUB's water literacy campaigns</t>
  </si>
  <si>
    <t>ASSUMPTION</t>
  </si>
  <si>
    <t>NA</t>
  </si>
  <si>
    <t>Drop-off rate of water literacy knowledge in year 2</t>
  </si>
  <si>
    <t>Information retention rate of students</t>
  </si>
  <si>
    <t>(Bruno, 2007)</t>
  </si>
  <si>
    <t>Drop-off rate of water literacy knowledge in year 3 onwards</t>
  </si>
  <si>
    <t>Reduction of non-potable water consumption for residential</t>
  </si>
  <si>
    <t xml:space="preserve">Sum of flushing (18%) and laundry (15%) percentages of household water use </t>
  </si>
  <si>
    <t>(PUB, 2018)</t>
  </si>
  <si>
    <t>Percentage of total water use by residential (before)</t>
  </si>
  <si>
    <t>From SDE data</t>
  </si>
  <si>
    <t>NUS SDE</t>
  </si>
  <si>
    <t>Reduction of non-potable water consumption for non-residential</t>
  </si>
  <si>
    <t>Greywater treatment costs ($/m3)</t>
  </si>
  <si>
    <t>Adjusted for exchange rates between USD &amp; SGD</t>
  </si>
  <si>
    <t>(Yu, 2015)</t>
  </si>
  <si>
    <t>Proportion of non-potable water use generated by greywater treatment (assumption ?)</t>
  </si>
  <si>
    <t>Adjusted for exchange rates between Pound &amp; SGD
installation and comissioning + site preparation + purchase of components +  collection &amp; distribution of pipework, based on 420m3</t>
  </si>
  <si>
    <t>Greywater Operating costs (electricity), per m3</t>
  </si>
  <si>
    <t>Based on study, assuming 43.2 GBP for 420 m3 of greywater treated and 1.78 GBP/SGD</t>
  </si>
  <si>
    <t>Land area of JLD under development</t>
  </si>
  <si>
    <t>"we treat all the different areas (residential, commerical, etc,) to have the same type of rainwater catchemnts", based on Matos study intervention area of 159971 m2, and price per catchment of 274671.14 ("assuming that scenario 13 from study is similar to the system adopted in JLD)</t>
  </si>
  <si>
    <t>1.4 kWh/m3 energy cost from Vieira, to scale to volume of JLD rainwater</t>
  </si>
  <si>
    <t>Land Area of Singapore (m2)</t>
  </si>
  <si>
    <t>As at June 2022</t>
  </si>
  <si>
    <t>(Singstat, 2022b)</t>
  </si>
  <si>
    <t>Land Area of Singapore (sqft)</t>
  </si>
  <si>
    <t>Based on Data.gov Figures, 10.76391041671 sqft/m2</t>
  </si>
  <si>
    <t>Cost of Land Reclamation</t>
  </si>
  <si>
    <t>SGD/km2</t>
  </si>
  <si>
    <t>Based on Marina Bay Sands Land Reclamation Project</t>
  </si>
  <si>
    <t>(MODUS, 2021)</t>
  </si>
  <si>
    <t>Size of Power Plant in Singapore (km2)</t>
  </si>
  <si>
    <t>km2</t>
  </si>
  <si>
    <t>Based on Tuas Power Plant Size</t>
  </si>
  <si>
    <t>(Yokogawa, 2003)</t>
  </si>
  <si>
    <t>Area of Allotment gardens in the community gardens of JLD</t>
  </si>
  <si>
    <t>There are 2 community gardens in JLD with each community garden having an estimated number of 30 allotment gardens. The plot consists of a raised planter bed (2.5m x 1m)</t>
  </si>
  <si>
    <t>Land Area under Nparks management</t>
  </si>
  <si>
    <t>Increased food cultivation</t>
  </si>
  <si>
    <t xml:space="preserve">Based on Vegetable Output and Cost Savings of Community Gardens in San Jose, California </t>
  </si>
  <si>
    <t>(Algert, 2014)</t>
  </si>
  <si>
    <t>Check this number</t>
  </si>
  <si>
    <t>Increased organic food consumption at normal food price(?)</t>
  </si>
  <si>
    <t>SGD/household/month</t>
  </si>
  <si>
    <t>Average household spends $450/month on groceries (Kang, n.d.)
Organic produce costs 50% more than conventional produce (?)</t>
  </si>
  <si>
    <t>(Kang, 2017)</t>
  </si>
  <si>
    <t>Check the 50% figure</t>
  </si>
  <si>
    <t>Investment per kg annual production, vertical fish farms</t>
  </si>
  <si>
    <t>SGD/kg</t>
  </si>
  <si>
    <t>Based on Temasek investment in Apollo Aquaculture, $70million with planned annual production fo 110 tonnes</t>
  </si>
  <si>
    <t>(Geddie, 2019)</t>
  </si>
  <si>
    <t>Investment per kg annual production, vertical agriculture farm</t>
  </si>
  <si>
    <t>From the article, "It is estimated that AeroFarms’ 69,000 square foot facility in Newark, New Jersey cost $39 million and can grow 2 million pounds of greens annually"</t>
  </si>
  <si>
    <t>(Tasgal, 2019)</t>
  </si>
  <si>
    <t>Investment per kg annual production, open farming</t>
  </si>
  <si>
    <t>This number is not correct, as this is the ongoing cost to produce (0.65 USD/lb)</t>
  </si>
  <si>
    <t>Revise this number</t>
  </si>
  <si>
    <t>Land area of Bishan-AMK Park</t>
  </si>
  <si>
    <t>(NParks, n.d.)</t>
  </si>
  <si>
    <t>n.d.</t>
  </si>
  <si>
    <t>Green cover of Bishan-AMK Park</t>
  </si>
  <si>
    <t>Assuming in line with national average of 56%</t>
  </si>
  <si>
    <t>(Yee, 2011)</t>
  </si>
  <si>
    <t>Number of Visits to Bishan-AMK Park</t>
  </si>
  <si>
    <t>5.9m figure adjusted to 2020 using Singpaore's population growth from 2016 to 2020</t>
  </si>
  <si>
    <t>(Dreiseitl, 2015)</t>
  </si>
  <si>
    <t>Proportion of tourists who visit Bishan-AMK Park</t>
  </si>
  <si>
    <t>(Lim, 2021)</t>
  </si>
  <si>
    <t>Number of international visitors to Singapore</t>
  </si>
  <si>
    <t>(5 year average 2015-2019)</t>
  </si>
  <si>
    <t>Statista, STB</t>
  </si>
  <si>
    <t>Number of tourist visits to Bishan-AMK park</t>
  </si>
  <si>
    <t>Number of local visits to Bishan-AMK park</t>
  </si>
  <si>
    <t>Time spent in Bishan-AMK Park per visit</t>
  </si>
  <si>
    <t>hours/vist</t>
  </si>
  <si>
    <t>42 minutes converted to hours</t>
  </si>
  <si>
    <t>Trip-related spending in urban parks per visit</t>
  </si>
  <si>
    <t>SGD/visit</t>
  </si>
  <si>
    <t>US$7/visit in Washington DC, US. Converted to SGD and adjusted to 2020 using Singapore's inflation rate from 2016-2020 and for future inflation</t>
  </si>
  <si>
    <t>(Briceno, 2015)</t>
  </si>
  <si>
    <t>Value of vegetables produced, per tonne</t>
  </si>
  <si>
    <t>SGD/tonne</t>
  </si>
  <si>
    <t>Based on the 2020 (latest available year) price for "Vegetables, fresh nes"</t>
  </si>
  <si>
    <t>(UNFAO, 2022)</t>
  </si>
  <si>
    <t>Imported vegetable weight, 2021</t>
  </si>
  <si>
    <t>tonnes</t>
  </si>
  <si>
    <t>(SFA, 2022)</t>
  </si>
  <si>
    <t>Average quarterly price of vegetables 2019Q1-2021Q4</t>
  </si>
  <si>
    <t>Standard Deviation of quarterly price of vegetables 2019Q1-2021Q4</t>
  </si>
  <si>
    <t>Health (Physical, Mental), Labor, and Exercise Data</t>
  </si>
  <si>
    <t>Estimated Costs due to Obesity and Other Obesity-related Diseases, per year</t>
  </si>
  <si>
    <t>(SPH NUS, 2017)</t>
  </si>
  <si>
    <t>Obesity Costs per Singaporean, yearly</t>
  </si>
  <si>
    <t>SGD/person</t>
  </si>
  <si>
    <t>Estimated Costs due to Obesity and Other Obesity-related Diseases / Singapore Population</t>
  </si>
  <si>
    <t>Obesity Rate of Singaporean Adults Aged 18 - 74 in 2020</t>
  </si>
  <si>
    <t>(MOH, 2021)</t>
  </si>
  <si>
    <t>Reduction in Obesity due to HPB efforts (Attribution)</t>
  </si>
  <si>
    <t>*hypothetical value (from Sensitivity Analysis)</t>
  </si>
  <si>
    <t>Consultation Fees for Mental Health Treatment</t>
  </si>
  <si>
    <t>(IMH, 2022)</t>
  </si>
  <si>
    <t>Average Number of Singaporeans Who Receive Treatment for Mental Health Issues per year</t>
  </si>
  <si>
    <t>(Ang, 2021)</t>
  </si>
  <si>
    <t>Reduction in Mental Health Issues due to HPB efforts (Attribution)</t>
  </si>
  <si>
    <t>Cost savings due to improved mental health per worker</t>
  </si>
  <si>
    <t>SGD/worker/year</t>
  </si>
  <si>
    <t>Based on 3938.9 SGD/year figure from Abdin 2021, and 2020 MOH NPHS survey showing 13.4% of Singaporeans aged 18-74 had poor mental health</t>
  </si>
  <si>
    <t>(MOH, 2021)
(Abdin, 2021)</t>
  </si>
  <si>
    <t>Days of Productivity Loss due to Presenteeism, yearly</t>
  </si>
  <si>
    <t>days</t>
  </si>
  <si>
    <t>Based on a satudy conducted by UK's Institute for Employment Studies</t>
  </si>
  <si>
    <t>(Bruce-Lockhart, 2019)</t>
  </si>
  <si>
    <t>Median Daily Salary</t>
  </si>
  <si>
    <t>Based on 2021 median monthly salary (4680) from Ministry of Manpower</t>
  </si>
  <si>
    <t>(MOM, 2022)</t>
  </si>
  <si>
    <t>Percentage Reduction in Presenteeism due to Improved Health</t>
  </si>
  <si>
    <t>(Hemp, 2004)</t>
  </si>
  <si>
    <t>I'm not sure where the 20% figure comes from</t>
  </si>
  <si>
    <t>Singapore Labour Force Participation Rate</t>
  </si>
  <si>
    <t>Based on Ministry of Manpower's 2021 Figures</t>
  </si>
  <si>
    <t>(MOM, 2021)</t>
  </si>
  <si>
    <t>Average Number of Sick Leaves Taken, yearly</t>
  </si>
  <si>
    <t>Based on Ministry of Manpower's 2021 Figures (up to 2019)</t>
  </si>
  <si>
    <t>(Government of Singapore, 2021)</t>
  </si>
  <si>
    <t>Percentage of Healthcare Costs Incurred due to Poor Air Quality</t>
  </si>
  <si>
    <t>Based on a research study, US spent USD 21 Billion on healthcare cost related to air pollution out of USD 3.2 trillion in total healthcare cost</t>
  </si>
  <si>
    <t>(OECD, 2016)</t>
  </si>
  <si>
    <t>I think the original figures (at least the 3.2 trillion) are mischaracterized, should find a better proxy</t>
  </si>
  <si>
    <t xml:space="preserve">Percentage Reduction in No. of Sick Days Taken Due to improved air quality </t>
  </si>
  <si>
    <t>Based on a research study conducted in Spain, an improvement in air quality leads to a subsequent reduction in the number of sick days taken by employees</t>
  </si>
  <si>
    <t>(Holub, 2020)</t>
  </si>
  <si>
    <t>Average Healthcare Expenses, per household, monthly</t>
  </si>
  <si>
    <t>Based on SingStat Figures (2017/2018), retrieved 2022</t>
  </si>
  <si>
    <t>(Singstat, 2019)</t>
  </si>
  <si>
    <t>Singapore Annual Healthcare Expenditure CAGR</t>
  </si>
  <si>
    <t>Based on SG budget of $11.3B ($27B) spending on healthcare in 2019 (2030)</t>
  </si>
  <si>
    <t>(Teo, 2022)</t>
  </si>
  <si>
    <t>Percentage of Population tht are physcially inactive</t>
  </si>
  <si>
    <t>Proportion of people with mental illness</t>
  </si>
  <si>
    <t>A nationwide study was done in 2016 which shows that 1 in 7 people in Singapore has experienced a mental disorder in their lifetime (Institute of Mental Health, 2018)</t>
  </si>
  <si>
    <t>(IMH, 2018)</t>
  </si>
  <si>
    <t>Baseline proportion of visitors engaged in exercise</t>
  </si>
  <si>
    <t>45% in Bishan-AMK Park</t>
  </si>
  <si>
    <t>Increase proportion of visitors engaged in exercise due to increase in public spaces</t>
  </si>
  <si>
    <t>ASSUMPTION: Assumed improvement from having more public spaces.</t>
  </si>
  <si>
    <t>Distance walked per person</t>
  </si>
  <si>
    <t>km/person</t>
  </si>
  <si>
    <t>SDE design puts all locations with 5-minute walk from urban space.
Average walking speed in SG is 75m/min. Consider 2-way trips, 365 days a year.</t>
  </si>
  <si>
    <t>(Tanaboriboon, 1986)</t>
  </si>
  <si>
    <t>Estimated monthly salary for marginalized/senior citizens working the vertical farms</t>
  </si>
  <si>
    <t>SGD/person/month</t>
  </si>
  <si>
    <t>Estimated based on approximate base monthly CPF payout</t>
  </si>
  <si>
    <t>(Lim, 2022)</t>
  </si>
  <si>
    <t>Estimated average spending per capita in JLD commercial malls</t>
  </si>
  <si>
    <t>Median (average?) monthly household spending on shopping is $170 (Kang, 2017)
Average household size is 3.22 (Singstat, 2018), Assuming 70% increase in shopper traffic (Ong, 2019)</t>
  </si>
  <si>
    <t>(Kang, 2017)
(Singstat, 2018)
(Ong, 2019)</t>
  </si>
  <si>
    <t>2017
2018
2019</t>
  </si>
  <si>
    <t>Value of Statistical Life, Singapore</t>
  </si>
  <si>
    <t>(Paulo, 2019)</t>
  </si>
  <si>
    <t>Flood Cost Data</t>
  </si>
  <si>
    <t>Number of flood prone areas in Singapore</t>
  </si>
  <si>
    <t>(Quah, 2022)</t>
  </si>
  <si>
    <t>Flood prone area in Singapore</t>
  </si>
  <si>
    <t>Yearly flood damage</t>
  </si>
  <si>
    <t>SGD/year</t>
  </si>
  <si>
    <t>32 million SGD between 2000-2015</t>
  </si>
  <si>
    <t>Number of flash flood-related insurance claims, 2010</t>
  </si>
  <si>
    <t>Average amount per flash flood-related claim, 2010</t>
  </si>
  <si>
    <t>23 million SGD divided by number of claims</t>
  </si>
  <si>
    <t>Energy (including PV and ESS) Data</t>
  </si>
  <si>
    <t>SP Electricity Tariff including GST</t>
  </si>
  <si>
    <t>SGD/kWh</t>
  </si>
  <si>
    <t>SP Household tariff for Q3 2022</t>
  </si>
  <si>
    <t>(SPgroup, 2022a)</t>
  </si>
  <si>
    <t>Low Tension Domestic Electricity Tariff Annual Growth Rate, 5yr avg</t>
  </si>
  <si>
    <t>(SPgroup, 2022b)</t>
  </si>
  <si>
    <t>First year energy prices in SGD/GWh, scaled for 1 year in Tariff Growth, including GST for 2023</t>
  </si>
  <si>
    <t>SGD/GWh</t>
  </si>
  <si>
    <t>Singapore Energy Self-sufficiency ("Attribution Rate")</t>
  </si>
  <si>
    <t>Singapore will achieve 3% energy self-sufficiency by 2030</t>
  </si>
  <si>
    <t>(EMA, 2021a)</t>
  </si>
  <si>
    <t>JLD District Cooling System Capacity (RT)</t>
  </si>
  <si>
    <t>RT</t>
  </si>
  <si>
    <t>JLD DCS RT retrieved from Energy Systems PDF (given)</t>
  </si>
  <si>
    <t>BAU Unitary System Replacement Cost /RT</t>
  </si>
  <si>
    <t>SGD/RT</t>
  </si>
  <si>
    <t>Based on SP Group Figures</t>
  </si>
  <si>
    <t>(SPgroup 2021)</t>
  </si>
  <si>
    <t>Individual Chiller Equipment Replacement Cost Savings/ RT</t>
  </si>
  <si>
    <t>Individual Chiller Equipment Maintenance Cost Savings/ RT, yearly</t>
  </si>
  <si>
    <t>Annual Electricity Bill Cost Savings from DCS/ RT</t>
  </si>
  <si>
    <t>Based on SP study, electricity bill savings of $19,380,654 over 30 years for 25,836 RT capacity</t>
  </si>
  <si>
    <t>Energy Stored in one ESS unit (MWh)</t>
  </si>
  <si>
    <t>MWh</t>
  </si>
  <si>
    <t>Based on EMA Figures</t>
  </si>
  <si>
    <t>(EMA, 2020)</t>
  </si>
  <si>
    <t>Estimated Number of ESS required</t>
  </si>
  <si>
    <t>Overal Self Sufficiency * (Net PV Supply from Residential and Educational Areas)/(Energy stored per ESS)</t>
  </si>
  <si>
    <t>Installation Cost of one ESS unit ($/MWh)</t>
  </si>
  <si>
    <t>SGD/MWh (?)</t>
  </si>
  <si>
    <t>Based on a study on Evaluation of ESS Cost</t>
  </si>
  <si>
    <t>(Mongird, 2020)</t>
  </si>
  <si>
    <t>Could not verify, need to check, probably based on 50k USD * 1.3433 SGD/USD</t>
  </si>
  <si>
    <t>Vairable Operating and Maintenance Cost of ESS ($/MWh)</t>
  </si>
  <si>
    <t>SGD/kWh (?)</t>
  </si>
  <si>
    <t>Based on ESS Technologies Parameters</t>
  </si>
  <si>
    <t>(Somasundaram, 2020)</t>
  </si>
  <si>
    <t>Could not verify, need to check</t>
  </si>
  <si>
    <t>Fixed Operating and Maintenance Cost of ESS ($/MWh)</t>
  </si>
  <si>
    <t>Cost of energy storage in one Lithium-ion based BESS (inclusive of Installation &amp; Commission and Balance of Plant)</t>
  </si>
  <si>
    <t>Based on ESS Technologies Parameters (with E/P ratio of 1)</t>
  </si>
  <si>
    <t>(Implied) Site area occupied by Solar Panels in JLD</t>
  </si>
  <si>
    <t>Based on 283.4 GWh overall new energy, with average irradiance of 1644 kWh/m2 based on ppt, with 27% efficiency and shade/intermittence of 80%</t>
  </si>
  <si>
    <t>Value of recovered materials (USD/m2)</t>
  </si>
  <si>
    <t>USD/m2</t>
  </si>
  <si>
    <t>Based on MDPI study on the private and externality costs and benefits of recycling solar panels (2020)</t>
  </si>
  <si>
    <t>(Markert, 2020)</t>
  </si>
  <si>
    <t>Private cost of the FRELP method (USD/m2)</t>
  </si>
  <si>
    <t>External cost of the FRELP method (USD/m2)</t>
  </si>
  <si>
    <t>Initial Cost of Solar PV-Micro Grid System</t>
  </si>
  <si>
    <t>Based on a study on cost sensitivity analysis of microgrid systems (Scenario A SPV+Grid, "200 SPV panels of 1kW each and 200 converters of 1kW each with unreliable grid-connected")</t>
  </si>
  <si>
    <t>(Sharma, 2022)</t>
  </si>
  <si>
    <t>Operating Cost of Solar PV- Micro Grid System, yearly</t>
  </si>
  <si>
    <t>Cost of Energy of Grid System ($/GWh)</t>
  </si>
  <si>
    <t>Based on a study on cost sensitivity analysis of microgrid systems (Scenario G, only meets load demand, 0.074 $/kWh)</t>
  </si>
  <si>
    <t>LCOE of Solar Panels - "Residential" ($/GWh)</t>
  </si>
  <si>
    <t>From Energy xlsx 'Additonal Calculations' sheet, calculation methodology unclear</t>
  </si>
  <si>
    <t>LCOE of Solar Panels - "Indistrial" (sic) ($/GWh)</t>
  </si>
  <si>
    <t>Energy Demand for District Cooling System as percentage of total demand (GWh)</t>
  </si>
  <si>
    <t>Assumed a 70% allocation to the District Cooling System, which would take up a majority of the Precinct Scale Demand</t>
  </si>
  <si>
    <t>Installation Cost of District Cooling System ($/m of pipe)</t>
  </si>
  <si>
    <t>SGD/m</t>
  </si>
  <si>
    <t>Study on District Cooling Network Optimization in Singapore</t>
  </si>
  <si>
    <t>(Dorfner, 2017)</t>
  </si>
  <si>
    <t>Operational and Maintenance Cost ($/m of pipe)</t>
  </si>
  <si>
    <t>Cost of Cooling ($/GWh)</t>
  </si>
  <si>
    <t>Estimated Cost of ESS Explosion</t>
  </si>
  <si>
    <t>Economic Loss due to ESS explosion in Jecheon, South Korea, worth 4.1B won (3.63M USD)</t>
  </si>
  <si>
    <t>(Nam, 2018)</t>
  </si>
  <si>
    <t>Estimated yearly probability of ESS Explosion</t>
  </si>
  <si>
    <t>Estimate based on global storage capacity (17GWh), storage of one ESS Unit (2.4MWh), and number of incidents from 2011 to 2021 (32)</t>
  </si>
  <si>
    <t>Estimated Distribution Piping Length of DCS (km)</t>
  </si>
  <si>
    <t>Estimation, based on Woodlands system with 374 ha (?) with total distrubition piping length of 4.68 km</t>
  </si>
  <si>
    <t>(Dominkovic, 2017)</t>
  </si>
  <si>
    <t>Estimated Total Floor Area to be Covered (km2)</t>
  </si>
  <si>
    <t>Estimation, based on Woodlands system with 374 ha (?) with total floor area to be cooled of 3.64 km2</t>
  </si>
  <si>
    <t>Marina Bay District Cooling System Area served, sqft</t>
  </si>
  <si>
    <t>Marina Bay DCS serves 1.1 million m2 of commercial space</t>
  </si>
  <si>
    <t>(Tey, 2012)</t>
  </si>
  <si>
    <t>Natural Gas Cost as a percentage of Electricity Tariffs</t>
  </si>
  <si>
    <t>"Energy cost constituted the largest component (71.9% or 15.6 cents per kWh) of electricity tariff in 2021 (as at Q2 2021). It was calculated using the average of daily Natural Gas prices (indexed to Oil prices) in the first two-and-a-half months in the preceding quarter. "</t>
  </si>
  <si>
    <t>(EMA, 2021b)</t>
  </si>
  <si>
    <t>Social Cost of CO2</t>
  </si>
  <si>
    <t>Based on 75 USD per US ton from page referencing IMF report</t>
  </si>
  <si>
    <t>(Gillingham, 2019)</t>
  </si>
  <si>
    <t>Electricity Cost of vertical farming, monthly energy usage per m2</t>
  </si>
  <si>
    <t>kWh/m2/month</t>
  </si>
  <si>
    <t>Average of rocket and romaine lettuce</t>
  </si>
  <si>
    <t>(iFarm, 2020)</t>
  </si>
  <si>
    <t>Emissions Data</t>
  </si>
  <si>
    <t>Singapore Annual CO2 emissions for 2020 (tonnes)</t>
  </si>
  <si>
    <t>(Ritchie, 2021)</t>
  </si>
  <si>
    <t>Singapore planned peak emissions in 2030 (tonnes)</t>
  </si>
  <si>
    <t>Nationally determined contribution</t>
  </si>
  <si>
    <t>(Government of Singapore, 2022)</t>
  </si>
  <si>
    <t>Growth rate in SG CO2 emissions status quo, 2020-2030</t>
  </si>
  <si>
    <t>Percentage of annual carbon emissions emitted by large players</t>
  </si>
  <si>
    <t>(NCCS, 2019)</t>
  </si>
  <si>
    <t>I couldn't find this figure on the page.</t>
  </si>
  <si>
    <t>Current Carbon Tax</t>
  </si>
  <si>
    <t>(NCCS, 2022)</t>
  </si>
  <si>
    <t>Nparks Financial and Opex Data and Public Space Construction Costs</t>
  </si>
  <si>
    <t xml:space="preserve">Magnitude of effect of learning environment on salary </t>
  </si>
  <si>
    <t>Product of Regression coefficients of learning environment on student motivation (0.48), achievement (0.27) and starting salary (0.05)</t>
  </si>
  <si>
    <t>Solar Premium on Property Prices</t>
  </si>
  <si>
    <t>Based on a study conducted in U.S.</t>
  </si>
  <si>
    <t>(BCA, 2005)</t>
  </si>
  <si>
    <t>(Guessing on the year, there may be more recent data, including from BCA)</t>
  </si>
  <si>
    <t>Increased property prices due to greenery</t>
  </si>
  <si>
    <t>Richard Belcher from the Future Cities Laboratory at the Singapore-ETH Centre and Ryan Chisholm, assistant professor, department of biological sciences at the National University of Singapore, attributed an average of 3.0 percent or $11,200 of a HDB flat’s resale value to nearby green space.</t>
  </si>
  <si>
    <t xml:space="preserve">(Navaratnarajah, 2018)
</t>
  </si>
  <si>
    <t>Secondary source</t>
  </si>
  <si>
    <t>Marginal gain for city parks</t>
  </si>
  <si>
    <t>181.67 USD/m, 
Examples of City Parks: Urban spaces in the CBD area and Orchard Road</t>
  </si>
  <si>
    <t>(Dell’Anna, 2022)</t>
  </si>
  <si>
    <t>Marginal gain for regional parks</t>
  </si>
  <si>
    <t>85.97 USD/m, Examples of Regional Parks: Bishan-AMK Park, Singapore Botanic Gardens, East Coast Park</t>
  </si>
  <si>
    <t>Marginal gain for nature areas</t>
  </si>
  <si>
    <t>18.23 USD/m, Examples of Nature Areas: Sungei Buloh Wetland Reserve</t>
  </si>
  <si>
    <t>Value of air pollution removed in Bishan-AMK Park</t>
  </si>
  <si>
    <t>Adjusted to 2020 using Singapore's inflation rate from 2016-2020.</t>
  </si>
  <si>
    <t>Tourist spending per tourist per visit per m2 of public space</t>
  </si>
  <si>
    <t>SGD/vist/m2</t>
  </si>
  <si>
    <t xml:space="preserve">Increase in REIT (Capitaland) portfolio earnings due to added greenness </t>
  </si>
  <si>
    <t>SGD/REIT/year</t>
  </si>
  <si>
    <t>Capitaland Revenue (3,502,5335,000) times proportion of Singapore GFA (5,220,428 m2) occupied by IMM, JCube, and Westgate [(132,527+29,426_55,176)/5,220,428], times Additional returns from greenness 1.41% based on (Ooi, 2019)</t>
  </si>
  <si>
    <t>(Capitaland, 2021)
(Ooi, 2020)</t>
  </si>
  <si>
    <t>2021
2020</t>
  </si>
  <si>
    <r>
      <t>Urban Heat Island - avoidance of increased water usage due to 1</t>
    </r>
    <r>
      <rPr>
        <sz val="11"/>
        <color theme="1"/>
        <rFont val="Calibri"/>
        <family val="2"/>
      </rPr>
      <t>°C increase in temperature</t>
    </r>
  </si>
  <si>
    <t>Many assumptions made in Greenery Space Report, need to recalculate this, but the (Salvo, 2018) reference is good</t>
  </si>
  <si>
    <t>(Salvo, 2018)</t>
  </si>
  <si>
    <t>Salvo: increases in water usage of (5.3, 4.8, 4.3, 4.7) L/day for (2, 3, 4, 5)-room flat</t>
  </si>
  <si>
    <t>Physical Health Savings per JLD resident due to JLD project, yearly</t>
  </si>
  <si>
    <t>Savings on obesity-related illness treatments per Singaporean * obesity rate * (1-HPB attribution)</t>
  </si>
  <si>
    <t>Proxy for Improved physical health benefit due to increase in walking and physical activity level</t>
  </si>
  <si>
    <t>SGD/person/week</t>
  </si>
  <si>
    <t xml:space="preserve">Based on an academic article published in the International Journal of Environmental Research and Public Health citing a previous study by the Journal of Social Science and Medicine, positive demand response to improvements in the walking environment in the form of greenery can yield health benefits valued at £13.65/person/week </t>
  </si>
  <si>
    <t>(Lynch, 2020)</t>
  </si>
  <si>
    <t>Mental Health Treatment Savings per JLD resident due to JLD project, yearly</t>
  </si>
  <si>
    <t>Savings on mental health-related illness treatments per Singaporean * obesity rate * (1-HPB attribution)</t>
  </si>
  <si>
    <t>(Figure Taken from paper) Reduction in mental health-related treatment costs such as costs of visits to a restructured hospital doctor, other private health workers, accident and emergency, and intermediate and long-term care services and productivity losses. The economic burden of mental disorders among adults in Singapore: evidence from the 2016 Singapore Mental Health Study (Abdin, 2021)</t>
  </si>
  <si>
    <t>(Abdin, 2021)</t>
  </si>
  <si>
    <t>Decrease in percentage of unhappy people</t>
  </si>
  <si>
    <t>Unhappiness decreases from 15.5% to 10.2% when local space is &gt;90% green as opposed to 10% green. (Maas, 2006)</t>
  </si>
  <si>
    <t>(Chen, 2019)
(World Bank, 2020)</t>
  </si>
  <si>
    <t>2019
2020</t>
  </si>
  <si>
    <r>
      <t>SGD/</t>
    </r>
    <r>
      <rPr>
        <sz val="11"/>
        <color theme="1"/>
        <rFont val="Calibri"/>
        <family val="2"/>
      </rPr>
      <t>°C/person/year</t>
    </r>
  </si>
  <si>
    <r>
      <t>Based on research for Perth (population 2.14 million) showing that an increase in 0.7-0.9</t>
    </r>
    <r>
      <rPr>
        <sz val="11"/>
        <color theme="1"/>
        <rFont val="Calibri"/>
        <family val="2"/>
      </rPr>
      <t>°C from 2026 to 2032 would result in additional healthcare costs of AUD 125.8-129.1 million). (Tong et al. 2021)
Assuming that healthcare costs scale linearly with HDI (AU 0.960, SG 0.938) (Global Data Lab, n.d.)</t>
    </r>
  </si>
  <si>
    <t>(Tong, 2021)
(Global_Data_Lab, 2019)</t>
  </si>
  <si>
    <t>2021
2019</t>
  </si>
  <si>
    <t>Value of time as proportion of hourly wage</t>
  </si>
  <si>
    <t xml:space="preserve">There is also the fact that there is empirical evidence from other types of behavior that is inconsistent with the standard model of the labor–leisure tradeoff at the market wage. Cesario (1976) was the first to point this out in the context of the analysis of recreation demand. He cited evidence from choices of transportation mode by commuters that the revealed opportunity cost of time was perhaps only one-third of the market wage. For more recent evidence from stated preference analysis of transportation mode choice, see Calfee, Winston, and Stempki (2001). Following Cesario, the practice of using a shadow price of time of one-third of the wage became common in recreation demand analysis (Shaw and Feather 1999). Englin and Shonkwiler (1995a) used a latent variable approach in an effort to estimate the unobserved true cost of travel time (including time cost) as a function of observable indicator variables. In their application of the model to data on recreation visits to Lake Champlain, they found that travel time has an estimated value that is about 40 percent of the average wage of the sample. </t>
  </si>
  <si>
    <t>(Freeman, 2014)</t>
  </si>
  <si>
    <t>Socio-economic value of exercise per person per hour</t>
  </si>
  <si>
    <t>SGD/person/hr</t>
  </si>
  <si>
    <t>Average of SG$6-16, adjusted for inflation</t>
  </si>
  <si>
    <t>Economic savings of walking per km</t>
  </si>
  <si>
    <t>AU$2.68/km in Victoria, Australia
Converted to SG$, adjusted to 2020 using Singapore's inflation rate from 2019-2020 (and for future inflation)</t>
  </si>
  <si>
    <t>(Badawi, 2018)</t>
  </si>
  <si>
    <t>Potential rental earnings per installed RT of DCS capacity, yearly</t>
  </si>
  <si>
    <t>Based on SP study on Tampines DCS with potential retail earnings (due to saved space) of $58,985,393 over 30 years, with a cooling capacity of 25,836 RT. Assuming similar cooling capacity per floor area.</t>
  </si>
  <si>
    <r>
      <t>SGD/person/year/</t>
    </r>
    <r>
      <rPr>
        <sz val="11"/>
        <color theme="1"/>
        <rFont val="Calibri"/>
        <family val="2"/>
      </rPr>
      <t>°C</t>
    </r>
  </si>
  <si>
    <r>
      <t>Based on the paper, for High income Hot Climate countries, the estimated excess Energy expenditure between 20</t>
    </r>
    <r>
      <rPr>
        <sz val="11"/>
        <color theme="1"/>
        <rFont val="Calibri"/>
        <family val="2"/>
      </rPr>
      <t xml:space="preserve">°C and 35°C is approximated by ΔE (MJ) = -0.9315 + 0.2522*T + 0.01042*T^2, giving meaning that an increase of 1°C at 27.9 (SG annual mean temp in 2021 from NEA) means an extra </t>
    </r>
    <r>
      <rPr>
        <sz val="11"/>
        <color theme="1"/>
        <rFont val="Calibri"/>
        <family val="2"/>
        <scheme val="minor"/>
      </rPr>
      <t>0.8481 MJ in daily energy use per capita, using latest low tension tariff pricing from SP</t>
    </r>
  </si>
  <si>
    <t>(Rode, 2021)
(NEA, 2022)</t>
  </si>
  <si>
    <t>Stakeholder</t>
  </si>
  <si>
    <t>Output/Outcome/Metric</t>
  </si>
  <si>
    <t>Indicator</t>
  </si>
  <si>
    <t>Formula</t>
  </si>
  <si>
    <t>Data Source</t>
  </si>
  <si>
    <t>Time</t>
  </si>
  <si>
    <t>Outcome</t>
  </si>
  <si>
    <t>Indicators</t>
  </si>
  <si>
    <t>Financial Proxy</t>
  </si>
  <si>
    <t>Benefit Period</t>
  </si>
  <si>
    <t>Soc/Env/Econ</t>
  </si>
  <si>
    <t>Gov Agencies</t>
  </si>
  <si>
    <t>Reduced water consumption</t>
  </si>
  <si>
    <t>Increase in water literacy</t>
  </si>
  <si>
    <t>Reduction of Water Consumption due to Increase in Water Literacy
x Water Price x Number of residents
x % who reduce with improved water literacy</t>
  </si>
  <si>
    <t>(Citypopulation, 2022)
(Singstat, 2021)
(STB, 2022)
(MSE, 2022)
(Hoey, 2020)
ASSUMPTION</t>
  </si>
  <si>
    <t>Years 3-10</t>
  </si>
  <si>
    <t>**</t>
  </si>
  <si>
    <t>Econ</t>
  </si>
  <si>
    <t>Residents, Business, Commerical, Educational</t>
  </si>
  <si>
    <t>Reduced potable water consumption</t>
  </si>
  <si>
    <t>Reduce in spending on potable water</t>
  </si>
  <si>
    <t>[ResidentialWater use fraction 
x Reduction in consumption of potable water by using non-potable for flushing and laundry) + (Non-residental water use fraction
x reduction in non-resid. potable water use)]
x Total water use x Price of water</t>
  </si>
  <si>
    <t>NUS SDE
(PUB, 2018)
(PUB, 2022)</t>
  </si>
  <si>
    <t>Years 1-10</t>
  </si>
  <si>
    <t>Soc/Env</t>
  </si>
  <si>
    <t>Residents</t>
  </si>
  <si>
    <t>Improved Physical Health</t>
  </si>
  <si>
    <t>Physical Health Benefit Proxy
x Assumed % Active x JLD Population</t>
  </si>
  <si>
    <t>(Lynch, 2020)
ASSUMPTION
(Citypopulation, 2022)
(Singstat, 2021)</t>
  </si>
  <si>
    <t>Many</t>
  </si>
  <si>
    <t xml:space="preserve">Decreased Electricicity Bills </t>
  </si>
  <si>
    <t>Decreased Demand from retrofit</t>
  </si>
  <si>
    <r>
      <t>(</t>
    </r>
    <r>
      <rPr>
        <sz val="11"/>
        <color theme="1"/>
        <rFont val="Calibri"/>
        <family val="2"/>
      </rPr>
      <t xml:space="preserve">Δ Electricity Demand) x Tariff </t>
    </r>
  </si>
  <si>
    <t>Increased supply from Solar</t>
  </si>
  <si>
    <r>
      <t>(</t>
    </r>
    <r>
      <rPr>
        <sz val="11"/>
        <color theme="1"/>
        <rFont val="Calibri"/>
        <family val="2"/>
      </rPr>
      <t xml:space="preserve">Δ Electricity Supply) x Tariff </t>
    </r>
  </si>
  <si>
    <t>Decreased Unhappiness</t>
  </si>
  <si>
    <t>β_decreaseInUnhappinessPerPercentGreenCover
x Number of JLD Residents x Proportion with Mental Illness
x Excess Health Treatment Costs Due to Mental Illness</t>
  </si>
  <si>
    <t>(Maas, 2006)
(Citypopulation, 2022)
(Singstat, 2021)
(IMH, 2018)
(Abdin, 2021)</t>
  </si>
  <si>
    <t>Improved Air Quality</t>
  </si>
  <si>
    <t>Improved Air Quality Proxy
x JLD Green Sites Area</t>
  </si>
  <si>
    <t>Land area of community gardens</t>
  </si>
  <si>
    <t>Value of food per m2 x (Area of Allotment gardens in the community gardens of JLD)</t>
  </si>
  <si>
    <t>JLD Users</t>
  </si>
  <si>
    <t>Incremental value of time spent in public spaces</t>
  </si>
  <si>
    <t>Incremental Gross Floor Area</t>
  </si>
  <si>
    <t>Incremental GFA x Time spent per visit per m2
x Estimated visits by locals+tourists
x Median hourly wage
x Value of time as proportion of hourly wage</t>
  </si>
  <si>
    <t>(NParks, n.d.)
(Dreiseitl, 2015)
(Lim, 2021)
Staista, STB
(MOM, 2022)
(Freeman, 2014)</t>
  </si>
  <si>
    <t>Property Value Increase due to Solar Premium</t>
  </si>
  <si>
    <t>Current Home Price</t>
  </si>
  <si>
    <t>Weighted Avg Home Price
x Solar Premium %
x (Population / AvgHouseholdSize)</t>
  </si>
  <si>
    <t>(Singstat, 2021b)
(Evlanova, 2022)
(BCA, 2005)
(Singstat, 2021b)</t>
  </si>
  <si>
    <t>Year 1</t>
  </si>
  <si>
    <t>Property Value Increase due to Proximity to Greenery</t>
  </si>
  <si>
    <t>Weighted Avg Home Price
x Greenery Proximity Premium &amp;
x (Population / AvgHouseholdSize)</t>
  </si>
  <si>
    <t>(Singstat, 2021b)
(Evlanova, 2022)
(Navaratnarajah, 2018)
(Singstat, 2021b)</t>
  </si>
  <si>
    <t>**
*These benefits are overlapping</t>
  </si>
  <si>
    <t>Property Value Increase due to Proximity to Public Space</t>
  </si>
  <si>
    <t>Estimated # Households near JLD
x Weighted Average decrease in proximity to green space
x Average of gains (SGD/m proximity)</t>
  </si>
  <si>
    <t>(Singstat, 2021b)
NUS SDE
(Tanaboriboon, 1986)
(Dell’Anna, 2022)</t>
  </si>
  <si>
    <t>Business</t>
  </si>
  <si>
    <t>Increase in Rental earnings due to space freed up by chiller plants</t>
  </si>
  <si>
    <t>Installed RT Capacity</t>
  </si>
  <si>
    <t>Installed Capacity (RT)
x Factor</t>
  </si>
  <si>
    <t>Replacement cost savings</t>
  </si>
  <si>
    <t>Average(Chiller replacement cost per RT,BAU replacement cost per RT)
x Installed Capacity (RT)</t>
  </si>
  <si>
    <t>One year</t>
  </si>
  <si>
    <t>All</t>
  </si>
  <si>
    <t>Cleaner Air from less CO2 from energy production</t>
  </si>
  <si>
    <t>CO2 reduction (tonnes)
x Value of reducing air pollution by 1 tonne (???)</t>
  </si>
  <si>
    <t>Business, Commerical</t>
  </si>
  <si>
    <t>Reduction in household healthcare expenditure due to improved air quality</t>
  </si>
  <si>
    <t>Household avg healthcare expenditures
x # Households
x Healthcare costs due to poor air quality %</t>
  </si>
  <si>
    <t>(Singstat, 2019)
(Singstat, 2021b)
(OECD, 2016)</t>
  </si>
  <si>
    <t>Cost Savings from lower carbon tax</t>
  </si>
  <si>
    <t>Carbon Emissions</t>
  </si>
  <si>
    <t>Carbon Tax x Reduction in CO2 emissions
x Largest emitters %</t>
  </si>
  <si>
    <t>(NCCS, 2022)
(NCCS, 2019)</t>
  </si>
  <si>
    <t>Tax will increase</t>
  </si>
  <si>
    <t>Government</t>
  </si>
  <si>
    <t>Recovery of materials from recycled PV panels</t>
  </si>
  <si>
    <t>Value of recovered materials</t>
  </si>
  <si>
    <t>Site area Covered by Solar Panels in Singapore (m2) 
x Total Value of Recovered Materials per m2</t>
  </si>
  <si>
    <t>Incremental trip-related spending by tourists</t>
  </si>
  <si>
    <t>Incrmental GFA of public space
x Spending per vist per m2</t>
  </si>
  <si>
    <t>(Briceno, 2015)
(NParks, n.d.)</t>
  </si>
  <si>
    <t>Soc/Env/Eon</t>
  </si>
  <si>
    <t>Urban Heat Island Effect:
Savings on Healthcare</t>
  </si>
  <si>
    <t>Urban Heat Island Effect:
Savings on Electricity</t>
  </si>
  <si>
    <t>UHI Electricity Cost Factor
x 1°C x JLD Population</t>
  </si>
  <si>
    <t>Urban Heat Island Effect:
Savings on Water</t>
  </si>
  <si>
    <t>UHI Water Cost Factor
x 1°C x JLD Population</t>
  </si>
  <si>
    <t>(Salvo, 2018)
(Singstat, 2021b)</t>
  </si>
  <si>
    <t>Soc/Econ</t>
  </si>
  <si>
    <t>Socio-economic value of exercise</t>
  </si>
  <si>
    <r>
      <t>(</t>
    </r>
    <r>
      <rPr>
        <sz val="11"/>
        <color theme="1"/>
        <rFont val="Calibri"/>
        <family val="2"/>
      </rPr>
      <t>Δ</t>
    </r>
    <r>
      <rPr>
        <sz val="11"/>
        <color theme="1"/>
        <rFont val="Calibri"/>
        <family val="2"/>
        <scheme val="minor"/>
      </rPr>
      <t xml:space="preserve"> GFA public space / BS-AMK park area)^2 
x Time spent in BS-AMK park per visit x # Tourist vists
 x %Exercising x Value of exercise</t>
    </r>
  </si>
  <si>
    <t>(NParks, n.d.)
(Dreiseitl, 2015)</t>
  </si>
  <si>
    <t>Economic savings of walking</t>
  </si>
  <si>
    <t>SG population density x JLD Area x Distance walked per person x Economic savings of walking</t>
  </si>
  <si>
    <t>(Singstat, 2022a)
(Tanaboriboon, 1986)
(Badawi, 2018)</t>
  </si>
  <si>
    <t>Value of air pollution removed</t>
  </si>
  <si>
    <t>(Δ GFA public space / BS-AMK park area)
x Value of pollution removed in BS-AMK park</t>
  </si>
  <si>
    <t>(Dreiseitl, 2015)
(NParks, n.d.)</t>
  </si>
  <si>
    <t>Food (vegetables) from farms</t>
  </si>
  <si>
    <t>Value of food</t>
  </si>
  <si>
    <t>Increased Costs for Water Saving Equipment (Greywater Treatment) - Initial costs</t>
  </si>
  <si>
    <t>(Installation &amp; commissioning + site preparation + components purchase + collection &amp; distribution of pipework) per m3
x Proportion non-potable from greywater
x Total volume of water for non-potable uses</t>
  </si>
  <si>
    <t>ASSUMPTION
(Memon, 2005)</t>
  </si>
  <si>
    <t>Increased Costs for Water Saving Equipment (Greywater Treatment) - Ongoing costs</t>
  </si>
  <si>
    <t>(Treatment + maintenance + operating per m3)
x Proportion non-potable from grewater
x Total volume of water for non-potable uses</t>
  </si>
  <si>
    <t>ASSUMPTION
(Yu, 2015)
(Memon, 2005)</t>
  </si>
  <si>
    <t>Increased Costs for Water Saving Equipment (Rainwater Harvesting) - Initial Costs</t>
  </si>
  <si>
    <t>Installation cost per m2
x JLD Area</t>
  </si>
  <si>
    <t xml:space="preserve">(Matos, 2015)
</t>
  </si>
  <si>
    <t>Increased Costs for Water Saving Equipment (Rainwater Harvesting) - Ongoing costs</t>
  </si>
  <si>
    <t>[Maintenance Costs/year/m2 x JLD Are]a +
[Operating Costs/year/m3 x proportion non-potable from rainwater x Total volume of water for non-potable uses]</t>
  </si>
  <si>
    <t>(Hicks, 2008)
(Vieira, 2014)
ASSUMPTION
(SPgroup, 2022a)</t>
  </si>
  <si>
    <t>Cost of operating microgrid</t>
  </si>
  <si>
    <t>Yearly Cost of Grid per GWh
x New Annual Solar Electricity Supply</t>
  </si>
  <si>
    <t>Cost of installing and operating solar panels</t>
  </si>
  <si>
    <t>LCOE of solar panel (per GWh)
x New Annual Solar Electricity Supply</t>
  </si>
  <si>
    <t>Developers, Government</t>
  </si>
  <si>
    <t>Cost of ESS installation</t>
  </si>
  <si>
    <t>Installation cost for one ESS per MWh x Energy per ESS
x Estimated # ESS installed</t>
  </si>
  <si>
    <t>(Mongird, 2020)
(EMA, 2020)</t>
  </si>
  <si>
    <t>Cost of ESS operation, maintenance</t>
  </si>
  <si>
    <t>[Storage cost + fixed maint cost + variable maint cost]
x Energy Stored</t>
  </si>
  <si>
    <t>(Somasundaram, 2020)
(EMA, 2020)</t>
  </si>
  <si>
    <t>Cost of DCS installation</t>
  </si>
  <si>
    <t>Installation cost per km
x Estimated length of pipe needed</t>
  </si>
  <si>
    <t>(Dominkovic, 2017)
(Dorfner, 2017)</t>
  </si>
  <si>
    <t>Cost of DCS maintenance and operation</t>
  </si>
  <si>
    <t>Maintenance cost per km
x Estimated length of pipe needed</t>
  </si>
  <si>
    <t>Cost of Energy DCS operation</t>
  </si>
  <si>
    <t>Net Energy Demand x Assumed percentage required for DCS x Estimated cost of cooling per GWh</t>
  </si>
  <si>
    <t>ASSUMPTION
(Dorfner, 2017)</t>
  </si>
  <si>
    <t>Increased e-waste</t>
  </si>
  <si>
    <t>Cost of recycling end-of-life solar panels</t>
  </si>
  <si>
    <t>Site area covered by Solar Panels in Singapore (m2)
x Decommissioning costs per m2 ($/m2)</t>
  </si>
  <si>
    <t>Staff Costs</t>
  </si>
  <si>
    <t>Incremental Greenery Space
x Nparks Staff Costs / Nparks area under management</t>
  </si>
  <si>
    <t>Greenery Maintenance Costs</t>
  </si>
  <si>
    <t>Incremental Greenery Space
x Nparks Greenery mainetance costs
 / Nparks area under management</t>
  </si>
  <si>
    <t>G&amp;A expenses</t>
  </si>
  <si>
    <t>Incremental Greenery Space
x Nparks G&amp;A expenses / Nparks area under management</t>
  </si>
  <si>
    <t>Depreciation of PPE</t>
  </si>
  <si>
    <t>Incremental Greenery Space
x Nparks Depreciation of PPE
/ Nparks area under management</t>
  </si>
  <si>
    <r>
      <t xml:space="preserve">Average(Sports/leisure construction cost per m2, walkways construction cost per m2) x </t>
    </r>
    <r>
      <rPr>
        <sz val="11"/>
        <color theme="1"/>
        <rFont val="Calibri"/>
        <family val="2"/>
      </rPr>
      <t>Δ Public Space area</t>
    </r>
  </si>
  <si>
    <t>(Arcadis, 2022)
(MOT, 2018)</t>
  </si>
  <si>
    <t>Operational Cost</t>
  </si>
  <si>
    <r>
      <t xml:space="preserve">Nparks operational cost per m2 x </t>
    </r>
    <r>
      <rPr>
        <sz val="11"/>
        <color theme="1"/>
        <rFont val="Calibri"/>
        <family val="2"/>
      </rPr>
      <t>Δ Public Space area</t>
    </r>
  </si>
  <si>
    <t>Benefit/Cost?</t>
  </si>
  <si>
    <t>Status</t>
  </si>
  <si>
    <t>Inflation, Discount, and Other Rates</t>
  </si>
  <si>
    <t> </t>
  </si>
  <si>
    <t>Singapore's average annual inflation rate for the last 51 years</t>
  </si>
  <si>
    <t>1961 - 2022</t>
  </si>
  <si>
    <t>(World Bank, 2022)</t>
  </si>
  <si>
    <t>https://data.worldbank.org/indicator/FP.CPI.TOTL.ZG?end=2022&amp;locations=SG&amp;start=1961&amp;view=chart</t>
  </si>
  <si>
    <t>Population, Housing, and Leasing Proxies in Singapore</t>
  </si>
  <si>
    <t>Monthly leasing rate for office</t>
  </si>
  <si>
    <t>S$/m2</t>
  </si>
  <si>
    <t>Based on SP Group's assumption in page 33 of the reference</t>
  </si>
  <si>
    <t>(SP Group, 2021)</t>
  </si>
  <si>
    <t>https://www.ura.gov.sg/Corporate/Media-Room/Media-Releases/pr23-02</t>
  </si>
  <si>
    <t>Price Premium-related Proxies</t>
  </si>
  <si>
    <t>Rental premium on building due to Green Mark certification</t>
  </si>
  <si>
    <t>The average rental premium for BCA Green Mark Gold and Platinum is between 4%-9%</t>
  </si>
  <si>
    <t>(JLL, 2022)</t>
  </si>
  <si>
    <t>LK01</t>
  </si>
  <si>
    <t>https://www.retalkasia.com/news/2022/11/30/companies-are-paying-more-rent-space-asia%E2%80%99s-green-buildings-jll-study/1669766876</t>
  </si>
  <si>
    <t>*the report is also on the references folder</t>
  </si>
  <si>
    <t>Cost premium of meeting Green Mark Gold standards for commercial building</t>
  </si>
  <si>
    <t>(BCA, 2013)</t>
  </si>
  <si>
    <t>WYY214</t>
  </si>
  <si>
    <t>Water, Land, Food, and Tourism Proxies</t>
  </si>
  <si>
    <t>Price of water</t>
  </si>
  <si>
    <t>No price increase since 2018</t>
  </si>
  <si>
    <t>https://beta.pub.gov.sg/Public/WaterLoop/Water-Price</t>
  </si>
  <si>
    <t>Greywater treatment cost</t>
  </si>
  <si>
    <t>Greywater treatment equipment installation cost</t>
  </si>
  <si>
    <t>Covers installation and comissioning + site preparation + purchase of components +  collection &amp; distribution of pipework, based on 420 m3</t>
  </si>
  <si>
    <t>Greywater treatment equipment maintenance cost</t>
  </si>
  <si>
    <t>Based on 420 m3</t>
  </si>
  <si>
    <t>Greywater operating costs (electricity)</t>
  </si>
  <si>
    <t>Based on study, assuming 774kWh for 420 m3 of greywater treated</t>
  </si>
  <si>
    <t>Rainwater catchment equipment installation cost</t>
  </si>
  <si>
    <t>"we treat all different areas (residential, commerical, etc.) to have the same type of rainwater catchments", based on Matos study intervention area of 159,971 m2, and price per 274,671.14 m2 catchment (assuming scenario 13 from study is similar to the system adopted in JLD)</t>
  </si>
  <si>
    <t>Updated with below data:</t>
  </si>
  <si>
    <r>
      <rPr>
        <sz val="11"/>
        <color rgb="FFFF0000"/>
        <rFont val="Calibri"/>
        <family val="2"/>
      </rPr>
      <t xml:space="preserve">
</t>
    </r>
    <r>
      <rPr>
        <sz val="11"/>
        <color rgb="FF000000"/>
        <rFont val="Calibri"/>
        <family val="2"/>
      </rPr>
      <t>Cost of tank: RM0.5/L, Cost of pipe: RM241/m, Retrofitting cost: RM4000/pipe, converted to SGD using PPP</t>
    </r>
  </si>
  <si>
    <t>Construction cost of rainwater storage tank (domestic)</t>
  </si>
  <si>
    <t xml:space="preserve">$2000 / 5 m3 = $400/m3 domestic rainwater tank excluding installation cost </t>
  </si>
  <si>
    <t>(Khastagir, 2011)</t>
  </si>
  <si>
    <t>https://link.springer.com/article/10.1007/s11269-011-9883-1</t>
  </si>
  <si>
    <t>Rainwater catchment maintenance cost</t>
  </si>
  <si>
    <t>S$/year/m2</t>
  </si>
  <si>
    <t>Mucking Tank + Pump replacement + Minor fitting replacement + Booster Pump replacement based on 55,908 m2 building</t>
  </si>
  <si>
    <t>Electricity required to operate rainwater treatment equipment</t>
  </si>
  <si>
    <t>1.4 kWh/m3 energy intensity from Vieira, to scale to volume of JLD rainwater</t>
  </si>
  <si>
    <t>To update</t>
  </si>
  <si>
    <t>Health (Physical, Mental), Labor, and Exercise Proxies</t>
  </si>
  <si>
    <t>Median hourly salary</t>
  </si>
  <si>
    <t>S$</t>
  </si>
  <si>
    <t>Based on 2022 median monthly salary (5,070) from Ministry of Manpower, assuming 22 work days in a month and 8 work hours in a day</t>
  </si>
  <si>
    <t>(MOM, 2023)</t>
  </si>
  <si>
    <t>Updated</t>
  </si>
  <si>
    <t>Proportion of population with mental health symptoms</t>
  </si>
  <si>
    <t>Cost saving due to improved mental health</t>
  </si>
  <si>
    <t>S$/person/year</t>
  </si>
  <si>
    <t>Reduction in mental health-related treatment costs such as costs of visits to a restructured hospital doctor, other private health workers, accident and emergency, and intermediate and long-term care services and productivity losses. The economic burden of mental disorders among adults in Singapore: evidence from the 2016 Singapore Mental Health Study (Abdin, 2021)</t>
  </si>
  <si>
    <t>To verify</t>
  </si>
  <si>
    <t>% / %</t>
  </si>
  <si>
    <t>(SP Group, 2022a)</t>
  </si>
  <si>
    <t>Low Tension domestic electricity tariff annual growth rate, 5yr avg</t>
  </si>
  <si>
    <t>Taken as 5-year average</t>
  </si>
  <si>
    <t>(SP Group, 2022b)</t>
  </si>
  <si>
    <t>S$/kWp</t>
  </si>
  <si>
    <t>Cost of installing solar PV system in a residential building</t>
  </si>
  <si>
    <t>For a 10 kWp system</t>
  </si>
  <si>
    <t>Cost of operating and maintaining solar PV system in a residential building</t>
  </si>
  <si>
    <t>Proxies for Public Space</t>
  </si>
  <si>
    <t>(NParks, 2023)</t>
  </si>
  <si>
    <t>https://www.nparks.gov.sg/gardens-parks-and-nature/parks-and-nature-reserves/bishan---ang-mo-kio-park</t>
  </si>
  <si>
    <t>Area of greenery in Bishan-AMK Park</t>
  </si>
  <si>
    <t>Verified and updated</t>
  </si>
  <si>
    <t>https://ugl.sg/wp-content/uploads/2020/07/perspectives-on-five-decades-of-the-urban-greening-of-singapore.pdf</t>
  </si>
  <si>
    <t>hours/visit</t>
  </si>
  <si>
    <t>10.6 hours per month &gt; 0.35 hours per day (assuming go everyday)</t>
  </si>
  <si>
    <t>Number of total visits to Bishan-AMK Park</t>
  </si>
  <si>
    <t>visits</t>
  </si>
  <si>
    <t>5.9m figure adjusted to 2020 using Singapore's population growth from 2016 to 2020</t>
  </si>
  <si>
    <t>To adjust based on current population</t>
  </si>
  <si>
    <t>Over 4 millions visitors? https://www.nparks.gov.sg/gardens-parks-and-nature/parks-and-nature-reserves/bishan---ang-mo-kio-park</t>
  </si>
  <si>
    <t>Total Singapore population</t>
  </si>
  <si>
    <t>people</t>
  </si>
  <si>
    <t>(Singstat, 2022)</t>
  </si>
  <si>
    <t>https://www.singstat.gov.sg/-/media/files/publications/population/population2022.ashx#:~:text=Singapore's%20total%20population%20stood%20at,in%20the%20non%2Dresident%20population.</t>
  </si>
  <si>
    <t>Value of time as proportion of hourly salary</t>
  </si>
  <si>
    <t>New - To Classify and Verify</t>
  </si>
  <si>
    <t>Decrease in sick leave hours taken per person from improved lighting quality</t>
  </si>
  <si>
    <t>hrs/person/year</t>
  </si>
  <si>
    <t>Decrease in sick leave from worst to average conditions of light quality, based on rating points according to experts (1 best, 7 worst, 1.81 hrs/point)</t>
  </si>
  <si>
    <t>(Elzeyadi, 2011)</t>
  </si>
  <si>
    <t>Decrease in sick leave hours taken per person from improved view ratings</t>
  </si>
  <si>
    <t>Decrease in sick leave from worst to average conditions of view ratings based on rating points according to experts (1 best, 10 worst, 0.81 hrs/point)</t>
  </si>
  <si>
    <t>Average Solar Irradiance of Singapore</t>
  </si>
  <si>
    <t>kWh/m2/year</t>
  </si>
  <si>
    <t>average annual solar irradiance of 1,580 kWh/m2/year</t>
  </si>
  <si>
    <t>https://unionpower.com.sg/guide-to-solar-pv-system-2/</t>
  </si>
  <si>
    <t>Module efficiency of typical PV</t>
  </si>
  <si>
    <t>Efficiency of Maxeon 6 panel (typical)</t>
  </si>
  <si>
    <t>https://sunpower.maxeon.com/int/sites/default/files/2022-03/sp_max6_66c_blk_res_ac_ds_en_0.pdf</t>
  </si>
  <si>
    <t>PV Peak Output Power per panel Area</t>
  </si>
  <si>
    <t>kWp/m2</t>
  </si>
  <si>
    <t>366VA Peak Output Power for a 1032mm x 1872mm panel</t>
  </si>
  <si>
    <t>Yearly energy intensity of PV</t>
  </si>
  <si>
    <t>Average annual solar irradiance times efficiency</t>
  </si>
  <si>
    <t>Green Mark Embodied Carbon Reference Value Non-Residential</t>
  </si>
  <si>
    <t>kgCO2e/m2</t>
  </si>
  <si>
    <t>https://www1.bca.gov.sg/docs/default-source/docs-corp-buildsg/sustainability/20210909_-carbon-technical-guide_r1.pdf</t>
  </si>
  <si>
    <t>Green Mark Embodied Carbon Reference Value Residential</t>
  </si>
  <si>
    <t>Green Mark Embodied Carbon Reference Value Industrial</t>
  </si>
  <si>
    <t>No-cost embodied carbon reduction from baseline percent</t>
  </si>
  <si>
    <r>
      <t xml:space="preserve">Case Study 1: Mid-Rise Concrete and Steel Construction
In a five-story, 200,000 ft2, mixed-use office building with a steel-reinforced concrete slab and steel and
concrete above-grade construction, we identified a potential 46% reduction in up-front embodied carbon by
focusing on a wide array of building components. The cost premium for this reduction in embodied carbon is less
than 0.5% of the overall project cost.
</t>
    </r>
    <r>
      <rPr>
        <b/>
        <sz val="10"/>
        <color theme="1"/>
        <rFont val="Calibri"/>
        <family val="2"/>
      </rPr>
      <t>Top no-cost measures (measures that do not add to total project cost)
(32% + 0.5% + 0.1%)</t>
    </r>
    <r>
      <rPr>
        <sz val="10"/>
        <color theme="1"/>
        <rFont val="Calibri"/>
        <family val="2"/>
      </rPr>
      <t xml:space="preserve">
Specify lower-embodied-carbon products: 
Ready-mix concrete: optimize ready-mix supplier award selection, procure lower cement mix designs, and allow for 56-day strength obtainment
Metal decking
Roofing
One-for-one material substitution:
Gypsum sheathing
Insulation materials: procure lower-embodied-carbon insulation products such as polyiso or mineral wool batt in lieu of materials with higher
GWPs, such as XPS
</t>
    </r>
    <r>
      <rPr>
        <b/>
        <sz val="10"/>
        <color theme="1"/>
        <rFont val="Calibri"/>
        <family val="2"/>
      </rPr>
      <t>Top low-cost measures (measures that have a small cost premium associated with lower-embodied-carbon alternatives)  (10%+3%)</t>
    </r>
    <r>
      <rPr>
        <sz val="10"/>
        <color theme="1"/>
        <rFont val="Calibri"/>
        <family val="2"/>
      </rPr>
      <t xml:space="preserve">
Specify lower-embodied-carbon products:
Glazing: procure lower-embodied-carbon glazing products
Structural steel and rebar: strategically procure steel from mills that incorporate high recycled content steel, electric arc furnace technology, and
clean electrical supply</t>
    </r>
  </si>
  <si>
    <t>(Esau, 2021)</t>
  </si>
  <si>
    <t>see diagram on p.24</t>
  </si>
  <si>
    <t>No-cost embodied carbon reduction per area</t>
  </si>
  <si>
    <t>Low-cost embodied carbon reduction from baseline percent</t>
  </si>
  <si>
    <t>Low-cost embodied carbon reduction per area</t>
  </si>
  <si>
    <t>Low-cost embodied carbon reduction premium (as perecent of total budget)</t>
  </si>
  <si>
    <t>Singapore 2021 grid emission factor</t>
  </si>
  <si>
    <t>kgCO2/kwH</t>
  </si>
  <si>
    <t>Assume constant going forward</t>
  </si>
  <si>
    <t>https://www.ema.gov.sg/resources/singapore-energy-statistics/chapter2</t>
  </si>
  <si>
    <t>Electricity Tariff Volatility (coefficient of variation of historical monthly tariff data)</t>
  </si>
  <si>
    <t>https://www.ema.gov.sg/resources/statistics/average-monthly-uniform-singapore-energy-price</t>
  </si>
  <si>
    <t>S$/kg</t>
  </si>
  <si>
    <t>Number</t>
  </si>
  <si>
    <t>RefName</t>
  </si>
  <si>
    <t>Title</t>
  </si>
  <si>
    <t>RefURL</t>
  </si>
  <si>
    <t>The economic burden of mental disorders among adults in Singapore: evidence from the 2016 Singapore Mental Health Study</t>
  </si>
  <si>
    <t>https://www.tandfonline.com/doi/full/10.1080/09638237.2021.1952958</t>
  </si>
  <si>
    <t>Vegetable Output and Cost Savings of Community Gardens in San Jose, California</t>
  </si>
  <si>
    <t>https://www.jandonline.org/article/S2212-2672(14)00232-9/fulltext</t>
  </si>
  <si>
    <t xml:space="preserve"> Almost 50,000 Singapore residents received mental health treatment every year from 2016 to 2019: MOH </t>
  </si>
  <si>
    <t>https://www.channelnewsasia.com/singapore/mental-health-treatment-depression-suicide-2285051</t>
  </si>
  <si>
    <t>(Arcadis, 2020)</t>
  </si>
  <si>
    <t>ARCADIS Construction Cost Handbook - Singapore 2020</t>
  </si>
  <si>
    <t>Construction Cost Handbook - Singapore (p. 31)</t>
  </si>
  <si>
    <t>https://media.arcadis.com/-/media/project/arcadiscom/com/perspectives/asia/publications/cch/2022/singapore-construction-cost-handbook-2022.pdf?rev=842b76624b8c40a0affc61f99debde9f</t>
  </si>
  <si>
    <t>The economic case for investment in walking</t>
  </si>
  <si>
    <t>https://www.victoriawalks.org.au/Assets/Files/The-Economic-Case-for-Investment-in-Walking-FINAL.pdf</t>
  </si>
  <si>
    <t>Green Building Design Guide</t>
  </si>
  <si>
    <t>https://www.bca.gov.sg/GreenMark/others/ggenergy.pdf</t>
  </si>
  <si>
    <t>Economic Analysis of Outdoor Recreation in 
Washington State</t>
  </si>
  <si>
    <t>https://www.tre.wa.gov/wp-content/uploads/Willhite.pdf</t>
  </si>
  <si>
    <t>At work but out of it</t>
  </si>
  <si>
    <t>https://ig.ft.com/special-reports/health-work/2019/</t>
  </si>
  <si>
    <t>Long-term retention of material taught and examined in chiropractic curricula: its relevance to education and clinical practice</t>
  </si>
  <si>
    <t>https://www.ncbi.nlm.nih.gov/pmc/articles/PMC1924649/</t>
  </si>
  <si>
    <t>(Capitaland, 2021)</t>
  </si>
  <si>
    <t>Capitaland Property Portfolio (as of 31 December 2020)</t>
  </si>
  <si>
    <t>https://investor.capitaland.com/newsroom/20210224_060919_C31_TB0SDQJLSAXAMNDK.4.pdf</t>
  </si>
  <si>
    <t>(Chen, 2019)</t>
  </si>
  <si>
    <t>Effects of neighborhood green space on PM2. 5 mitigation: Evidence from five megacities in China. Building and Environment</t>
  </si>
  <si>
    <t>https://www.sciencedirect.com/science/article/abs/pii/S0360132319301611</t>
  </si>
  <si>
    <t>Urban green infrastructures: How much did they affect 
property prices in Singapore?</t>
  </si>
  <si>
    <t>https://doi.org/10.1016/j.ufug.2022.127475</t>
  </si>
  <si>
    <t>Potential of district cooling in hot and humid climates</t>
  </si>
  <si>
    <t>https://www.sciencedirect.com/science/article/pii/S0306261917313351</t>
  </si>
  <si>
    <t>District cooling network optimization with redundancy constraints in Singapore</t>
  </si>
  <si>
    <t>https://futurecitiesenviro.springeropen.com/articles/10.1186/s40984-016-0024-0</t>
  </si>
  <si>
    <t>COST-BENEFIT ANALYSIS OF BISHAN-ANG MO KIO PARK</t>
  </si>
  <si>
    <t>GIVEN</t>
  </si>
  <si>
    <t>Energy Storage Solutions Deployed in Singapore
For a More Sustainable Future</t>
  </si>
  <si>
    <t>https://www.ema.gov.sg/cmsmedia/News/Media%20Release/2020/Media-Release-Energy-Storage-Solutions-Deployed-in-Singapore.pdf</t>
  </si>
  <si>
    <t>Advancing Singapore’s Energy Transition Towards a More Sustainable Future</t>
  </si>
  <si>
    <t>https://www.ema.gov.sg/media_release.aspx?news_sid=20211025JxngSPJ9UClo</t>
  </si>
  <si>
    <t>Energy Prices</t>
  </si>
  <si>
    <t>https://www.ema.gov.sg/singapore-energy-statistics/Ch05/index5</t>
  </si>
  <si>
    <t>Average Cost of Housing in Singapore 2022</t>
  </si>
  <si>
    <t>https://www.valuechampion.sg/average-cost-housing-singapore</t>
  </si>
  <si>
    <t>The Measurement of Environmental and Resource Values (p. 297)</t>
  </si>
  <si>
    <t>https://doi.org/10.4324/9781315780917</t>
  </si>
  <si>
    <t>From sky farms to lab-grown shrimp, Singapore eyes food future</t>
  </si>
  <si>
    <t>https://www.reuters.com/article/singapore-agriculture-idUSL5N22X24Z</t>
  </si>
  <si>
    <t>For deep greenhouse gas emission reductions, a long-term perspective on costs is essential</t>
  </si>
  <si>
    <t>https://www.imf.org/Publications/fandd/issues/2019/12/the-true-cost-of-reducing-greenhouse-gas-emissions-gillingham</t>
  </si>
  <si>
    <t>(Global_Data_Lab, 2019)</t>
  </si>
  <si>
    <t>Subnational HDI (v5.0)</t>
  </si>
  <si>
    <t>https://globaldatalab.org/shdi/shdi/AUS/?levels=1%2B4&amp;interpolation=1&amp;extrapolation=0&amp;nearest_real=0&amp;years=2019</t>
  </si>
  <si>
    <t>Average Days of Sick Leave Taken By Employees</t>
  </si>
  <si>
    <t>https://data.gov.sg/dataset/average-days-of-sick-leave-taken-by-employees</t>
  </si>
  <si>
    <t>SINGAPORE’S UPDATE OF ITS FIRST NATIONALLY DETERMINED CONTRIBUTION (NDC) AND ACCOMPANYING INFORMATION</t>
  </si>
  <si>
    <t>https://unfccc.int/sites/default/files/NDC/2022-06/Singapore%27s%20Update%20of%201st%20NDC.pdf</t>
  </si>
  <si>
    <t>https://www.straitstimes.com/singapore/budget-2022-singapore-to-raise-gst-from-7-to-9-in-two-stages-in-2023-and-2024</t>
  </si>
  <si>
    <t xml:space="preserve">Presenteeism: At Work—But Out of It </t>
  </si>
  <si>
    <t>https://hbr.org/2004/10/presenteeism-at-work-but-out-of-it</t>
  </si>
  <si>
    <t>A Cost-Benefit Analysis of Rainwater Harvesting
at Commercial Facilities in Arlington County, Virginia</t>
  </si>
  <si>
    <t>https://www.rainharvest.com/more/MastersProjectRainHarvest_200805.pdf</t>
  </si>
  <si>
    <t>(Hoey, 2020)</t>
  </si>
  <si>
    <t>Why building water literacy is more important than ever</t>
  </si>
  <si>
    <t>https://www.awa.asn.au/resources/latest-news/community/engagement/why-building-water-literacy-is-more-important-than-ever</t>
  </si>
  <si>
    <t>URBAN AIR POLLUTION AND SICK LEAVES: EVIDENCE FROM SOCIAL SECURITY DATA</t>
  </si>
  <si>
    <t>https://www.graduateinstitute.ch/sites/internet/files/2021-04/HHW_2020.pdf</t>
  </si>
  <si>
    <t>How Much Electricity Does a Vertical Farm Use?</t>
  </si>
  <si>
    <t>https://ifarm.fi/blog/2020/12/how-much-electricity-does-a-vertical-farm-consume</t>
  </si>
  <si>
    <t>Singapore Mental Health Survey 2016</t>
  </si>
  <si>
    <t>https://www.imh.com.sg/Research/Research-Programmes/Pages/Singapore-Mental-Health-Study-SMHS-2016.aspx</t>
  </si>
  <si>
    <t>Hospital Charges &amp; Financial Schemes</t>
  </si>
  <si>
    <t>https://www.imh.com.sg/Patients-and-Visitors/Pages/Hospital-Charges-and-Financial-Schemes.aspx</t>
  </si>
  <si>
    <t>Average Monthly Household Spending</t>
  </si>
  <si>
    <t>https://www.valuechampion.sg/average-household-budget-singapore</t>
  </si>
  <si>
    <t>(Kaori, 2013)</t>
  </si>
  <si>
    <t>HDB Construction Costs Revealed</t>
  </si>
  <si>
    <t>http://littlechillipadi89.blogspot.com/2013/08/hdb-construction-costs-revealed.html</t>
  </si>
  <si>
    <t>(Kwang, 2019)</t>
  </si>
  <si>
    <t>Make Every Class a Good Class: Doing Away with Streaming</t>
  </si>
  <si>
    <t>https://papneesoon.sg/2019/02/27/make-every-class-good-class-away-streaming/</t>
  </si>
  <si>
    <t>Economic assessment of urban space and blue-green infrastructure in Singapore</t>
  </si>
  <si>
    <t>https://academic.oup.com/jue/article/7/1/juab020/6324276</t>
  </si>
  <si>
    <t>CPF LIFE: The Complete Guide to Payouts, Plans &amp; Minimum Sums in 2022</t>
  </si>
  <si>
    <t>https://blog.moneysmart.sg/budgeting/cpf-life-payout-plan-minimum-sum/</t>
  </si>
  <si>
    <t xml:space="preserve"> A Systematic Review Exploring the Economic Valuation of Accessing and Using Green and Blue Spaces to Improve Public Health </t>
  </si>
  <si>
    <t>https://www.mdpi.com/1660-4601/17/11/4142</t>
  </si>
  <si>
    <t>Green space, urbanity, and health: how strong is the relation?</t>
  </si>
  <si>
    <t>https://jech.bmj.com/content/jech/60/7/587.full.pdf</t>
  </si>
  <si>
    <t>Private and Externality Costs and Benefits of Recycling Crystalline Silicon (c-Si) Photovoltaic Panels</t>
  </si>
  <si>
    <t>https://www.mdpi.com/1996-1073/13/14/3650/pdf</t>
  </si>
  <si>
    <t>https://www.mas.gov.sg/bonds-and-bills/SGS-Bond-Statistics</t>
  </si>
  <si>
    <t>Economic Analysis of a Rainwater Harvesting System in a Commercial Building</t>
  </si>
  <si>
    <t>https://link.springer.com/article/10.1007/s11269-015-1040-9</t>
  </si>
  <si>
    <t>Economic assessment tool for greywater recycling systems</t>
  </si>
  <si>
    <t>https://www.icevirtuallibrary.com/doi/10.1680/ensu.2005.158.3.155</t>
  </si>
  <si>
    <t xml:space="preserve">Out of the deep: 7 massive land reclamation projects </t>
  </si>
  <si>
    <t>https://ww3.rics.org/uk/en/modus/natural-environment/land/out-of-the-deep--7-massive-land-reclamation-projects--.html</t>
  </si>
  <si>
    <t>National Population Health Survey 2020</t>
  </si>
  <si>
    <t>https://www.moh.gov.sg/docs/librariesprovider5/default-document-library/nphs-2020-survey-report.pdf</t>
  </si>
  <si>
    <t xml:space="preserve">Summary Table: Labour Force </t>
  </si>
  <si>
    <t>https://stats.mom.gov.sg/Pages/Labour-Force-Summary-Table.aspx</t>
  </si>
  <si>
    <t>Summary Table: Income</t>
  </si>
  <si>
    <t>https://stats.mom.gov.sg/Pages/Income-Summary-Table.aspx</t>
  </si>
  <si>
    <t>An Evaluation of Energy Storage Cost and
Performance Characteristics</t>
  </si>
  <si>
    <t>https://res.mdpi.com/d_attachment/energies/energies-13-03307/article_deploy/energies-13-03307-v2.pdf</t>
  </si>
  <si>
    <t>Ministry of Transport - ??</t>
  </si>
  <si>
    <t>Our Water Policy in a Nutshell</t>
  </si>
  <si>
    <t>https://www.mse.gov.sg/policies/water</t>
  </si>
  <si>
    <t xml:space="preserve">Frequent fire raising concerns over safety of solar energy </t>
  </si>
  <si>
    <t>https://www.koreatimes.co.kr/www/tech/2018/12/133_260560.html</t>
  </si>
  <si>
    <t>(Navaratnarajah, 2018),</t>
  </si>
  <si>
    <t>Homes near green spaces fetch higher prices: study</t>
  </si>
  <si>
    <t xml:space="preserve">https://www.propertyguru.com.sg/property-management-news/2018/04/171198/homes-near-green-spaces-fetch-higher-prices-study </t>
  </si>
  <si>
    <t>Singapore's Emissions Profile</t>
  </si>
  <si>
    <t>https://www.nccs.gov.sg/singapores-climate-action/singapore-emissions-profile/</t>
  </si>
  <si>
    <t>Carbon Tax</t>
  </si>
  <si>
    <t>https://www.nccs.gov.sg/singapores-climate-action/carbon-tax/</t>
  </si>
  <si>
    <t>(NEA, 2022)</t>
  </si>
  <si>
    <t>2021 Is Singapore’s Second Wettest Year Since 1980</t>
  </si>
  <si>
    <t>https://www.nea.gov.sg/media/news/news/index/2021-is-singapore-s-second-wettest-year-since-1980</t>
  </si>
  <si>
    <t>(NParks, 2021)</t>
  </si>
  <si>
    <t>Embracing Nature - Annual Report 2020/2021</t>
  </si>
  <si>
    <t>https://www.nparks.gov.sg/portals/annualreport/theme/default/document/NParks_Annual_Report_2020_21_Annual_Report.pdf</t>
  </si>
  <si>
    <t>Your Guide to Bishan-Ang Mo Kio Park</t>
  </si>
  <si>
    <t>https://www.nparks.gov.sg/-/media/nparks-real-content/gardens-parks-and-nature/diy-walk/diy-walk-pdf-files/bishan-amk-park.ashx</t>
  </si>
  <si>
    <t>Population in Brief</t>
  </si>
  <si>
    <t>https://www.population.gov.sg/files/media-centre/publications/Population-in-brief-2021.pdf</t>
  </si>
  <si>
    <t>https://www.oecd-ilibrary.org/education/education-at-a-glance-2012/how-does-education-affect-the-economy_eag_highlights-2012-15-en;jsessionid=Ww9CxL48pYV0aiZ6204k7vLL.ip-10-240-5-41</t>
  </si>
  <si>
    <t>The Economic Consequences of Outdoor Air Pollution</t>
  </si>
  <si>
    <t>https://www.oecd.org/environment/the-economic-consequences-of-outdoor-air-pollution-9789264257474-en.htm</t>
  </si>
  <si>
    <t>(Ong, 2019)</t>
  </si>
  <si>
    <t>Funan mall’s S$560m makeover pleases some but others miss the old place</t>
  </si>
  <si>
    <t>https://www.todayonline.com/singapore/funan-malls-s560m-hipster-makeover-pleases-some-others-miss-old-place</t>
  </si>
  <si>
    <t>S’pore population better educated across age, ethnicity; women make greater strides</t>
  </si>
  <si>
    <t>https://www.straitstimes.com/singapore/spore-population-better-educated-across-age-ethnicity-women-make-greater-strides</t>
  </si>
  <si>
    <t>(Ooi, 2020)</t>
  </si>
  <si>
    <t>Finding Superior Returns in Green Portfolios: Evidence from Singapore REITs</t>
  </si>
  <si>
    <t>https://www.tandfonline.com/doi/abs/10.22300/1949-8276.11.1.191</t>
  </si>
  <si>
    <t>Climate change, floods and drought: Here’s how badly Singapore could be affected</t>
  </si>
  <si>
    <t xml:space="preserve">https://www.channelnewsasia.com/cnainsider/how-badly-climate-change-floods-drought-could-affect-singapore-846286 </t>
  </si>
  <si>
    <t>Singapore Property Market Report, Q1 2022</t>
  </si>
  <si>
    <t>https://cdn-cms.pgimgs.com/static/2022/02/singapore-property-market-report-q1-2022-powered-by-propertyguru-datasense_PR.pdf</t>
  </si>
  <si>
    <t>Singapore Household Water Consumption Study 2016/2017 Key Finding</t>
  </si>
  <si>
    <t>https://www.pub.gov.sg/sites/assets/PressReleaseDocuments/HH%20Water%20Consumption%20Study%20-%20Annex.pdf</t>
  </si>
  <si>
    <t>Water Price</t>
  </si>
  <si>
    <t>https://www.pub.gov.sg/watersupply/waterprice</t>
  </si>
  <si>
    <t>Counting the cost of flood damage in Singapore</t>
  </si>
  <si>
    <t>https://www.straitstimes.com/opinion/flood-damage-counting-the-cost</t>
  </si>
  <si>
    <t>Singapore: CO2 Country Profile</t>
  </si>
  <si>
    <t>https://ourworldindata.org/co2/country/singapore</t>
  </si>
  <si>
    <t>(Rode, 2021)</t>
  </si>
  <si>
    <t>Estimating a social cost of carbon for global energy consumption</t>
  </si>
  <si>
    <t>https://www.nature.com/articles/s41586-021-03883-8</t>
  </si>
  <si>
    <t>Electrical appliances moderate households’ water demand response to heat</t>
  </si>
  <si>
    <t>https://www.nature.com/articles/s41467-018-07833-3</t>
  </si>
  <si>
    <t>Singapore Food Statistics 2021</t>
  </si>
  <si>
    <t>https://www.sfa.gov.sg/docs/default-source/publication/sg-food-statistics/singapore-food-statistics-2021.pdf</t>
  </si>
  <si>
    <t>Modeling and sensitivity analysis of grid-connected hybrid green microgrid system</t>
  </si>
  <si>
    <t>https://www.sciencedirect.com/science/article/pii/S2090447921004573</t>
  </si>
  <si>
    <t>Report on the Household Expenditure Survey 2017/18</t>
  </si>
  <si>
    <t>https://www.singstat.gov.sg/publications/households/household-expenditure-survey</t>
  </si>
  <si>
    <t>Census of Population, Statistical Release 2</t>
  </si>
  <si>
    <t xml:space="preserve">https://www.parliament.gov.sg/docs/default-source/default-document-library/cop2020sr2.pdf </t>
  </si>
  <si>
    <t>Population Trends, 2021</t>
  </si>
  <si>
    <t>https://www.singstat.gov.sg/-/media/files/publications/population/population2021.ashx</t>
  </si>
  <si>
    <t>Population and Population Structure</t>
  </si>
  <si>
    <t>https://www.singstat.gov.sg/find-data/search-by-theme/population/population-and-population-structure/latest-data</t>
  </si>
  <si>
    <t>DOS | SingStat Website - Environment - Latest Data</t>
  </si>
  <si>
    <t>https://www.singstat.gov.sg/find-data/search-by-theme/society/environment/latest-data</t>
  </si>
  <si>
    <t>Energy Storage Systems Technology Roadmap for Singapore</t>
  </si>
  <si>
    <t>https://www.ntu.edu.sg/docs/librariesprovider60/publications/ess-technology-roadmap-singapore.pdf?sfvrsn=c91c9ae8_2</t>
  </si>
  <si>
    <t>Taking The Heat Off Cooling: A Greener Way to Cool</t>
  </si>
  <si>
    <t>https://www.spgroup.com.sg/wcm/connect/spgrp/e9cb79d1-86ea-462f-a69b-c617a6817724/Taking+The+Heat+Off+Cooling+-+A+Greener+Way+to+Cool.pdf?MOD=AJPERES</t>
  </si>
  <si>
    <t>ELECTRICITY TARIFF REVISION FOR THE PERIOD 1 JULY TO 30 SEPTEMBER 2022</t>
  </si>
  <si>
    <t>https://www.spgroup.com.sg/wcm/connect/spgrp/26005f14-916e-4fd8-8dd0-60aac5b24b6d/%5B20220630%5D+Media+Release+-+Q3+2022+Tariff.pdf?MOD=AJPERES&amp;amp%3BCVID=</t>
  </si>
  <si>
    <t>Historical Electricity Tariff - SP Group</t>
  </si>
  <si>
    <t>https://www.spgroup.com.sg/wcm/connect/spgrp/e0b9800a-c39b-4f41-8664-2bbe8e2ca826/Historical%2BElectricity%2BTariff_Oct+18%28w+GST%29.xls?MOD=AJPERES</t>
  </si>
  <si>
    <t>Singapore Incurs Third Highest Obesity Costs In The Region.</t>
  </si>
  <si>
    <t>https://sph.nus.edu.sg/2017/06/singapore-incurs-third-highest-obesity-costs-in-the-region/</t>
  </si>
  <si>
    <t>New Tourism Development in Jurong Lake District</t>
  </si>
  <si>
    <t>https://www.stb.gov.sg/content/stb/en/trade-events-and-resources/jld-tourism-development.html</t>
  </si>
  <si>
    <t>Pedestrian characteristics study in Singapore</t>
  </si>
  <si>
    <t>https://doi.org/10.1061/(asce)0733-947x(1986)112:3(229)</t>
  </si>
  <si>
    <t>The economics of local vertical &amp; greenhouse farming are getting competitive</t>
  </si>
  <si>
    <t>https://agfundernews.com/the-economics-of-local-vertical-and-greenhouse-farming-are-getting-competitive</t>
  </si>
  <si>
    <t>Budget 2022: Healthcare spending to form bulk of increase in social expenditures by 2030</t>
  </si>
  <si>
    <t>https://www.straitstimes.com/singapore/budget-2022-healthcare-spending-to-form-bulk-of-govt-expenditure-by-2030</t>
  </si>
  <si>
    <t>District Cooling System at Marina Bay, Singapore</t>
  </si>
  <si>
    <t>https://www.districtenergyaward.org/wp-content/uploads/2012/10/District_cooling_Singapore_2011.pdf</t>
  </si>
  <si>
    <t>(Tong, 2021)</t>
  </si>
  <si>
    <t>Hospital healthcare costs attributable to heat and future estimations in the context of climate change in Perth, Western Australia</t>
  </si>
  <si>
    <t>https://www.sciencedirect.com/science/article/pii/S1674927821001076?via%3Dihub</t>
  </si>
  <si>
    <t>Producer Prices</t>
  </si>
  <si>
    <t>https://www.fao.org/faostat/en/#data/PP</t>
  </si>
  <si>
    <t>Learning environment, learning process, academic outcomes and career success of university graduates</t>
  </si>
  <si>
    <t>https://www-tandfonline-com.libproxy1.nus.edu.sg/doi/pdf/10.1080/03075070802211810?needAccess=true</t>
  </si>
  <si>
    <t>Energy intensity of rainwater harvesting systems: A review</t>
  </si>
  <si>
    <t>https://www.sciencedirect.com/science/article/abs/pii/S1364032114001695 </t>
  </si>
  <si>
    <t>(World Bank, 2020)</t>
  </si>
  <si>
    <t>The Global Health Cost of Ambient PM2. 5 Air Pollution</t>
  </si>
  <si>
    <t>https://documents1.worldbank.org/curated/en/202401605153894060/World-The-Global-Cost-of-Ambient-PM2-5-Air-Pollution.pdf</t>
  </si>
  <si>
    <t>Inflation, consumer prices (annual %) - Singapore</t>
  </si>
  <si>
    <t>https://data.worldbank.org/indicator/FP.CPI.TOTL.ZG?locations=SG</t>
  </si>
  <si>
    <t>Population growth (annual %) - Singapore</t>
  </si>
  <si>
    <t>https://data.worldbank.org/indicator/SP.POP.GROW?locations=SG&amp;start=2010</t>
  </si>
  <si>
    <t>https://www.xe.com/currencyconverter/convert/?Amount=1&amp;From=USD&amp;To=SGD</t>
  </si>
  <si>
    <t>https://www.xe.com/currencyconverter/convert/?Amount=1&amp;From=GBP&amp;To=SGD</t>
  </si>
  <si>
    <t>https://www.xe.com/currencyconverter/convert/?Amount=1&amp;From=AUD&amp;To=SGD</t>
  </si>
  <si>
    <t>The vegetation of Singapore ―an updated map</t>
  </si>
  <si>
    <t>https://www.nparks.gov.sg/sbg/research/publications/gardens-bulletin-singapore/-/media/sbg/gardens-bulletin/gbs_63_01,-a-,02_y2011_v63_01,-a-,02/63_01,-a-,02_205_y2011_v63p1,-a-,p2_gbs_pg_205.pdf</t>
  </si>
  <si>
    <t>Safe and efficient power plant operation Tuas 1, Tuas Power Pte Ltd.</t>
  </si>
  <si>
    <t>https://web-material3.yokogawa.com/suc-TUASen.pdf</t>
  </si>
  <si>
    <t>(Yu, 2011)</t>
  </si>
  <si>
    <t>BCA-NUS Project on Valuation of Green Commercial Properties: Summary of Report Findings</t>
  </si>
  <si>
    <t>https://www1.bca.gov.sg/docs/default-source/docs-corp-buildsg/sustainability/green_building_valuation_report.pdf</t>
  </si>
  <si>
    <t>Cost–Benefit Analysis of Onsite Residential Graywater Recycling: A Case Study on the City of Los Angeles</t>
  </si>
  <si>
    <t>https://awwa.onlinelibrary.wiley.com/doi/10.5942/jawwa.2015.107.0124</t>
  </si>
  <si>
    <t>Type</t>
  </si>
  <si>
    <t>Environmental</t>
  </si>
  <si>
    <t>Physical Health</t>
  </si>
  <si>
    <t>Mental wellbeing</t>
  </si>
  <si>
    <t>Productivity</t>
  </si>
  <si>
    <t>2022 NUS annual report</t>
  </si>
  <si>
    <t>Campus Staff &amp; Faculty</t>
  </si>
  <si>
    <t>Staff Scaling Factor</t>
  </si>
  <si>
    <t>TV31</t>
  </si>
  <si>
    <t>Sunday</t>
  </si>
  <si>
    <t>Everyone</t>
  </si>
  <si>
    <t>9. Slides</t>
  </si>
  <si>
    <t>Wednesday</t>
  </si>
  <si>
    <t>Yunuo, ZS, FS</t>
  </si>
  <si>
    <t>8. Executive summary</t>
  </si>
  <si>
    <t>Friday</t>
  </si>
  <si>
    <t>7. Final report compilation</t>
  </si>
  <si>
    <t>Carine, Kha Lek</t>
  </si>
  <si>
    <t>6. Sensitivity analysis and scenario analysis from step 5</t>
  </si>
  <si>
    <t>5. The SROI analysis from step 4.</t>
  </si>
  <si>
    <t>4. The computation of benefits and costs from step 3.</t>
  </si>
  <si>
    <t>3. List of financial proxies to be used based on the logic model</t>
  </si>
  <si>
    <t>2. Logic Model</t>
  </si>
  <si>
    <t>1. TOC with literature review</t>
  </si>
  <si>
    <t>Completed</t>
  </si>
  <si>
    <t>Deadline</t>
  </si>
  <si>
    <t>Who</t>
  </si>
  <si>
    <t>Tasks</t>
  </si>
  <si>
    <t>Maintenance cost per kilometer of monorail</t>
  </si>
  <si>
    <t>Value of Time for Seated bus and train passenger</t>
  </si>
  <si>
    <t>NZ$/min</t>
  </si>
  <si>
    <t>Take inflation rate of 72% from 2002 Q1 to 2023 Q3 for New Zealand (CPI).</t>
  </si>
  <si>
    <t>(New Zealand Transport Agency,2002) (Reserve Bank of new Zealand, n.d.)</t>
  </si>
  <si>
    <t>https://www.rbnz.govt.nz/monetary-policy/about-monetary-policy/inflation-calculator</t>
  </si>
  <si>
    <t>SGD/NZD</t>
  </si>
  <si>
    <t>As of 29 Oct 2023</t>
  </si>
  <si>
    <t>https://sg.finance.yahoo.com/quote/SGDNZD=X/</t>
  </si>
  <si>
    <t>ZS, FS</t>
  </si>
  <si>
    <t>Carine, Kha Lek, Yunuo</t>
  </si>
  <si>
    <t>Total Benefits</t>
  </si>
  <si>
    <t>kWp</t>
  </si>
  <si>
    <t>Assume Singapore is on the higher end of the range of average capacity factor for Solar Energy (10-25%).</t>
  </si>
  <si>
    <t>https://mdpi-res.com/d_attachment/sustainability/sustainability-13-04279/article_deploy/sustainability-13-04279-v2.pdf?version=1618295359</t>
  </si>
  <si>
    <t>Given that the capacity factor of better land-based wind sites is 0.35-0.4 and that Singapore's wind speed is half that of the average, we assume a capacity factor of 0.35*0.5=0.15)</t>
  </si>
  <si>
    <t>Wind turbines operational for 24 hours a day.</t>
  </si>
  <si>
    <t>Average operational hours for Solar PV are 6 hours.</t>
  </si>
  <si>
    <t>check</t>
  </si>
  <si>
    <t>Carbon Tax (2019-2023)</t>
  </si>
  <si>
    <t>Carbon Tax (2024-2025)</t>
  </si>
  <si>
    <t>Carbon Tax (2026-2027)</t>
  </si>
  <si>
    <t>Carbon Tax (2028-2030)</t>
  </si>
  <si>
    <t>SGD/tonne Co2eq</t>
  </si>
  <si>
    <t>https://www.nea.gov.sg/our-services/climate-change-energy-efficiency/climate-change/carbon-tax#:~:text=The%20carbon%20tax%20is%20applied,equivalent%20(tCO2e).&amp;text=The%20carbon%20tax%20revenue%20collected,impact%20on%20businesses%20and%20households.</t>
  </si>
  <si>
    <t xml:space="preserve">Reduction in Energy Demand </t>
  </si>
  <si>
    <t>Reduction due to</t>
  </si>
  <si>
    <t xml:space="preserve">New district cooling systems </t>
  </si>
  <si>
    <t xml:space="preserve">Natural Ventilation </t>
  </si>
  <si>
    <t xml:space="preserve">Rainwater Harvesting </t>
  </si>
  <si>
    <t>Nature-based Water treatment system</t>
  </si>
  <si>
    <t>Grey water recycle</t>
  </si>
  <si>
    <t>Reduction in Energy Demand (total)</t>
  </si>
  <si>
    <t>Initial Cost of Solar PV,wind-Micro Grid System</t>
  </si>
  <si>
    <t>Operating Cost of Solar PV, wind- Micro Grid System, yearly</t>
  </si>
  <si>
    <t>The most feasible solution consisting of 200 solar PV panels of 1 kW each, wind turbine 50 kW and 200 converters of 1 kW each with grid-connected system. The TNPC and LCOE of the system were $ 1,316,123 and 0.069 dollar per kilowatt hour, respectively. The total power purchase from the utility grid is 720,409 kW hour per year, and power sales to the grid is found to be 40,389 kW hour per year. The amount of carbon emission in the system was observed to 429773 kg/year.</t>
  </si>
  <si>
    <t>Based on a study on cost sensitivity analysis of microgrid systems (The most feasible solution consisting of 200 solar PV panels of 1 kW each, wind turbine 50 kW and 200 converters of 1 kW each with grid-connected system.)</t>
  </si>
  <si>
    <t>https://www.sciencedirect.com/science/article/pii/S2090447921004573#b0270</t>
  </si>
  <si>
    <t>Capital cost of Microgrid (Wind and SPV)</t>
  </si>
  <si>
    <t>Operating cost of Microgrid (Wind and SPV)</t>
  </si>
  <si>
    <t>Initial Cost of Campus/ Institutional Micro Grid System</t>
  </si>
  <si>
    <t xml:space="preserve">Average controller costs </t>
  </si>
  <si>
    <t>https://www.nrel.gov/docs/fy19osti/67821.pdf</t>
  </si>
  <si>
    <t>SGD/MW</t>
  </si>
  <si>
    <t>=cost of migrogrid*peak capacity of RES</t>
  </si>
  <si>
    <t>=area retrofitted*ave cost of retrofitting per activity</t>
  </si>
  <si>
    <t xml:space="preserve">Hybrid Cooling </t>
  </si>
  <si>
    <t>Retrofitting</t>
  </si>
  <si>
    <t>Construction costs of Residential buildings</t>
  </si>
  <si>
    <t>Construction costs of NUS Office and Educational facilities</t>
  </si>
  <si>
    <t>https://sustainability.nus.edu.sg/wp-content/uploads/2021/11/NUS-Sustainability-Review-2017-2020-Final.pdf</t>
  </si>
  <si>
    <t>Current % of Campus that is green mark certified as of 2020</t>
  </si>
  <si>
    <t>Residential GFA</t>
  </si>
  <si>
    <t>Office and Educational and Support Facilities GFA</t>
  </si>
  <si>
    <t>https://uci.nus.edu.sg/wp-content/uploads/2021/05/Annual-Report-2020.pdf</t>
  </si>
  <si>
    <t>Cost of constructing Public Spaces</t>
  </si>
  <si>
    <t>Staff + GA costs of Public Spaces</t>
  </si>
  <si>
    <t>Cost of Maintaining Public Spaces</t>
  </si>
  <si>
    <t>Cost of construction public spaces</t>
  </si>
  <si>
    <t>Target % of Campus that is Green mark certified by 2030</t>
  </si>
  <si>
    <t>Cost of Planting Trees</t>
  </si>
  <si>
    <t>=number of trees to be planted * cost per tree</t>
  </si>
  <si>
    <t>Cost of planting a single tree</t>
  </si>
  <si>
    <t>SGD/tree</t>
  </si>
  <si>
    <t>Assume that the baseline cost for planting a single tree is 250, benchmarked off what Nparks would quote</t>
  </si>
  <si>
    <t>(Handprint, 2022)</t>
  </si>
  <si>
    <t>2022</t>
  </si>
  <si>
    <t>https://handprint.tech/the-true-cost-of-tree-planting/#:~:text=Singapore's%20National%20Parks%20Board%20will,as%20little%20as%2010%20cents</t>
  </si>
  <si>
    <t>Cost of installing microgrids</t>
  </si>
  <si>
    <t>Cost of operating microgrids</t>
  </si>
  <si>
    <t>Cost of retrofitting (green mark buildings)</t>
  </si>
  <si>
    <t>Cost of retrofitting buildings</t>
  </si>
  <si>
    <t>Decrease in electricity bill through reduced demand due to District cooling system, Retrofitting etc.</t>
  </si>
  <si>
    <r>
      <t>Electricity demand reduction</t>
    </r>
    <r>
      <rPr>
        <sz val="11"/>
        <color rgb="FF000000"/>
        <rFont val="Calibri"/>
        <family val="2"/>
      </rPr>
      <t xml:space="preserve">* SP electricity tariff, GST included </t>
    </r>
  </si>
  <si>
    <t>Construction Cost of Solar PV</t>
  </si>
  <si>
    <t>Cost of maintenance of monorial / km</t>
  </si>
  <si>
    <t>Public Space Construction Cost</t>
  </si>
  <si>
    <t>Greenery Tree Planting Cost</t>
  </si>
  <si>
    <t>Public Cost Construction %</t>
  </si>
  <si>
    <t>Greenery Planting Cost %</t>
  </si>
  <si>
    <t>Cost of Capital</t>
  </si>
  <si>
    <t>Public Space Participation</t>
  </si>
  <si>
    <t>Greenery Participation</t>
  </si>
  <si>
    <t>Greenery Investment</t>
  </si>
  <si>
    <t>Public Space Investment</t>
  </si>
  <si>
    <t>Solar PV Investment</t>
  </si>
  <si>
    <t>Monorail Maintenance</t>
  </si>
  <si>
    <t>Difference</t>
  </si>
  <si>
    <t>Total Investment</t>
  </si>
  <si>
    <t>Maintenance Costs</t>
  </si>
  <si>
    <t>Wholesale electtricity prices (EMA)</t>
  </si>
  <si>
    <t>https://getsolar.ai/blog/solar-financial-incentives-singapore-2/#:~:text=Under%20ECIS%2C%20solar%20energy%20surplus,a%20low%20of%20%240.0876%2FkWh!</t>
  </si>
  <si>
    <t>Wholesale energy price for renewable energy sold back to the grid.</t>
  </si>
  <si>
    <t>Cost Saving</t>
  </si>
  <si>
    <t>Increased Income</t>
  </si>
  <si>
    <t>Metric 6</t>
  </si>
  <si>
    <t>Metric 7</t>
  </si>
  <si>
    <t>Healthcare savings due to Improvement in pm2.5 due to Co2 sequestration</t>
  </si>
  <si>
    <t>(Cohen et al., 2007)</t>
  </si>
  <si>
    <t>(Hafner et al., 2019).</t>
  </si>
  <si>
    <t>(Garrett, 2022)</t>
  </si>
  <si>
    <t>Percentage decrease in unhappiness due to increase in Greenery</t>
  </si>
  <si>
    <t>NUS &amp; University Campus Infrastructure</t>
  </si>
  <si>
    <t>Net Benefit</t>
  </si>
  <si>
    <t>nil</t>
  </si>
  <si>
    <t>https://www.ncbi.nlm.nih.gov/pmc/articles/PMC7802428/</t>
  </si>
  <si>
    <t>Take pre and post covid to be the estimates for activity level where there is no community space for community activities and post creation of community spaces. Community spaces are taken to be the recreational areas and common space front-back yards in the study.</t>
  </si>
  <si>
    <t>https://bmcpublichealth.biomedcentral.com/articles/10.1186/s12889-021-11553-7#MOESM2</t>
  </si>
  <si>
    <t>Increase in Happiness and Relaxation as a result of frequency of common space front-back yards (assume social interaction and acitvities are conducted in that location during the study).</t>
  </si>
  <si>
    <t>(Yılmaz, 2022)</t>
  </si>
  <si>
    <t>(McElroy et al., 2021)</t>
  </si>
  <si>
    <t>(Onque, 2022)</t>
  </si>
  <si>
    <t>(Lancaster, 2006)</t>
  </si>
  <si>
    <t>(Chaitanya, 2019)</t>
  </si>
  <si>
    <t>(EIA, 2012)</t>
  </si>
  <si>
    <t>(Meteorological Service Singapore, n.d.)</t>
  </si>
  <si>
    <t>(Owlshall, 2023)</t>
  </si>
  <si>
    <t>(Giraldez et al., 2018)</t>
  </si>
  <si>
    <t>(SolarAI, 2023)</t>
  </si>
  <si>
    <t>https://doi.org/10.1016/j.amepre.2004.10.018</t>
  </si>
  <si>
    <t xml:space="preserve">Increase in use of public spaces due to increase in access to public spaces (mean of 1.28 for poor access and mean of 1.87 for good access) and 82% of socail activities (passive) are conducted in high accesibility public spaces. </t>
  </si>
  <si>
    <t>(Giles-Corti et al., 2005)</t>
  </si>
  <si>
    <t>Reduction in life happiness is assumed to be equivalent to  a reduction in mental wellbeing measured by the WEBWBS scale.</t>
  </si>
  <si>
    <t>Target Travel time is taken to be the Free flow duration (no traffic at all) and Current Travel time is taken to be the Time taken during Congestion. Congestion index: It is computed by using the formula (C – C0) / C0 where C is the total travel time and C0 is the free flow time. Free flow travel time can be defined as the time taken to travel the distance when the traffic density is nearly zero. Time moving: The total time when the speed is greater than zero.</t>
  </si>
  <si>
    <t>Base</t>
  </si>
  <si>
    <t>&lt;&lt;&lt; linked to "project input"</t>
  </si>
  <si>
    <t>&lt;&lt;&lt; changing bold cells will influence the SROI calculation greatly. All bold cells linked to "Benefits, Costs, Inv"</t>
  </si>
  <si>
    <t>Total Maintenance cost of greywater treatment facility / m3 * target supply from greywater treatment</t>
  </si>
  <si>
    <t>Installation cost per m3 *
x greywater treatment target supply</t>
  </si>
  <si>
    <t>cost per m2 of park construction * target public space area</t>
  </si>
  <si>
    <t>cost per m2 of park maintenance * target public space area</t>
  </si>
  <si>
    <t>Solar PV Kilowatt Peak required (rooftops) * Cost per kilowatt peak</t>
  </si>
  <si>
    <t>Solar PV Kilowatt Peak required (facades) * Cost per kilowatt peak</t>
  </si>
  <si>
    <t>Wind Turbine Kilowatt peak required * Cost per kilowatt peak</t>
  </si>
  <si>
    <t>Wind Turbine target supply in Kilowatt hours * Cost per kilowatt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</si>
</sst>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41" formatCode="_(* #,##0_);_(* \(#,##0\);_(* &quot;-&quot;_);_(@_)"/>
    <numFmt numFmtId="44" formatCode="_(&quot;$&quot;* #,##0.00_);_(&quot;$&quot;* \(#,##0.00\);_(&quot;$&quot;* &quot;-&quot;??_);_(@_)"/>
    <numFmt numFmtId="43" formatCode="_(* #,##0.00_);_(* \(#,##0.00\);_(* &quot;-&quot;??_);_(@_)"/>
    <numFmt numFmtId="164" formatCode="_(* #,##0_);_(* \(#,##0\);_(* &quot;-&quot;??_);_(@_)"/>
    <numFmt numFmtId="165" formatCode="0.0000"/>
    <numFmt numFmtId="166" formatCode="0.0%"/>
    <numFmt numFmtId="167" formatCode="_-* #,##0_-;\-* #,##0_-;_-* &quot;-&quot;??_-;_-@_-"/>
    <numFmt numFmtId="168" formatCode="_(* #,##0.0_);_(* \(#,##0.0\);_(* &quot;-&quot;??_);_(@_)"/>
    <numFmt numFmtId="169" formatCode="0.000000"/>
    <numFmt numFmtId="170" formatCode="0.000%"/>
    <numFmt numFmtId="171" formatCode="0.000"/>
    <numFmt numFmtId="172" formatCode=";;"/>
    <numFmt numFmtId="173" formatCode="_(* #,##0.00000_);_(* \(#,##0.00000\);_(* &quot;-&quot;??_);_(@_)"/>
    <numFmt numFmtId="174" formatCode="_(&quot;$&quot;* #,##0_);_(&quot;$&quot;* \(#,##0\);_(&quot;$&quot;* &quot;-&quot;??_);_(@_)"/>
  </numFmts>
  <fonts count="49">
    <font>
      <sz val="11"/>
      <color theme="1"/>
      <name val="Calibri"/>
      <family val="2"/>
      <scheme val="minor"/>
    </font>
    <font>
      <b/>
      <sz val="11"/>
      <color theme="1"/>
      <name val="Calibri"/>
      <family val="2"/>
      <scheme val="minor"/>
    </font>
    <font>
      <i/>
      <sz val="10"/>
      <color theme="1"/>
      <name val="Calibri"/>
      <family val="2"/>
      <scheme val="minor"/>
    </font>
    <font>
      <b/>
      <sz val="14"/>
      <color theme="1"/>
      <name val="Calibri"/>
      <family val="2"/>
      <scheme val="minor"/>
    </font>
    <font>
      <b/>
      <sz val="1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sz val="14"/>
      <color theme="1"/>
      <name val="Calibri"/>
      <family val="2"/>
      <scheme val="minor"/>
    </font>
    <font>
      <b/>
      <sz val="16"/>
      <name val="Calibri"/>
      <family val="2"/>
      <scheme val="minor"/>
    </font>
    <font>
      <sz val="11"/>
      <color rgb="FF000000"/>
      <name val="Calibri"/>
      <family val="2"/>
    </font>
    <font>
      <sz val="11"/>
      <color theme="1"/>
      <name val="Calibri"/>
      <family val="2"/>
      <scheme val="minor"/>
    </font>
    <font>
      <sz val="11"/>
      <name val="Calibri"/>
      <family val="2"/>
    </font>
    <font>
      <u/>
      <sz val="11"/>
      <color theme="10"/>
      <name val="Calibri"/>
      <family val="2"/>
      <scheme val="minor"/>
    </font>
    <font>
      <b/>
      <sz val="11"/>
      <color rgb="FF000000"/>
      <name val="Calibri"/>
      <family val="2"/>
    </font>
    <font>
      <i/>
      <sz val="10"/>
      <color rgb="FF000000"/>
      <name val="Calibri"/>
      <family val="2"/>
    </font>
    <font>
      <b/>
      <sz val="14"/>
      <color theme="0"/>
      <name val="Calibri"/>
      <family val="2"/>
    </font>
    <font>
      <b/>
      <sz val="14"/>
      <color theme="0"/>
      <name val="Calibri"/>
      <family val="2"/>
      <scheme val="minor"/>
    </font>
    <font>
      <sz val="9"/>
      <color theme="1"/>
      <name val="Segoe UI"/>
      <family val="2"/>
    </font>
    <font>
      <sz val="11"/>
      <color theme="1"/>
      <name val="Calibri"/>
      <family val="2"/>
    </font>
    <font>
      <b/>
      <sz val="14"/>
      <color rgb="FF000000"/>
      <name val="Calibri"/>
      <family val="2"/>
    </font>
    <font>
      <sz val="11"/>
      <color rgb="FF006100"/>
      <name val="Calibri"/>
      <family val="2"/>
      <scheme val="minor"/>
    </font>
    <font>
      <i/>
      <sz val="11"/>
      <color theme="1"/>
      <name val="Calibri"/>
      <family val="2"/>
      <scheme val="minor"/>
    </font>
    <font>
      <sz val="11"/>
      <color rgb="FF9C0006"/>
      <name val="Calibri"/>
      <family val="2"/>
      <scheme val="minor"/>
    </font>
    <font>
      <sz val="8"/>
      <color theme="1"/>
      <name val="Calibri"/>
      <family val="2"/>
      <scheme val="minor"/>
    </font>
    <font>
      <b/>
      <sz val="20"/>
      <color theme="1"/>
      <name val="Calibri"/>
      <family val="2"/>
      <scheme val="minor"/>
    </font>
    <font>
      <sz val="12"/>
      <color theme="1"/>
      <name val="Calibri"/>
      <family val="2"/>
      <scheme val="minor"/>
    </font>
    <font>
      <u/>
      <sz val="12"/>
      <color theme="10"/>
      <name val="Calibri"/>
      <family val="2"/>
      <scheme val="minor"/>
    </font>
    <font>
      <sz val="10"/>
      <color theme="1"/>
      <name val="Calibri"/>
      <family val="2"/>
    </font>
    <font>
      <sz val="11"/>
      <color rgb="FF000000"/>
      <name val="Calibri"/>
      <family val="2"/>
      <scheme val="minor"/>
    </font>
    <font>
      <sz val="11"/>
      <color rgb="FFFF0000"/>
      <name val="Calibri"/>
      <family val="2"/>
    </font>
    <font>
      <b/>
      <sz val="10"/>
      <color theme="1"/>
      <name val="Calibri"/>
      <family val="2"/>
    </font>
    <font>
      <sz val="11"/>
      <color theme="0"/>
      <name val="Calibri"/>
      <family val="2"/>
      <scheme val="minor"/>
    </font>
    <font>
      <b/>
      <sz val="12"/>
      <color theme="0"/>
      <name val="Calibri"/>
      <family val="2"/>
      <scheme val="minor"/>
    </font>
    <font>
      <b/>
      <sz val="18"/>
      <color theme="1"/>
      <name val="Calibri"/>
      <family val="2"/>
      <scheme val="minor"/>
    </font>
    <font>
      <b/>
      <u/>
      <sz val="11"/>
      <color theme="1"/>
      <name val="Calibri"/>
      <family val="2"/>
      <scheme val="minor"/>
    </font>
    <font>
      <i/>
      <sz val="11"/>
      <color rgb="FF000000"/>
      <name val="Calibri"/>
      <family val="2"/>
    </font>
    <font>
      <b/>
      <sz val="13"/>
      <color theme="0"/>
      <name val="Calibri"/>
      <family val="2"/>
      <scheme val="minor"/>
    </font>
    <font>
      <sz val="13"/>
      <color theme="1"/>
      <name val="Calibri"/>
      <family val="2"/>
      <scheme val="minor"/>
    </font>
    <font>
      <sz val="8"/>
      <name val="Calibri"/>
      <family val="2"/>
      <scheme val="minor"/>
    </font>
    <font>
      <b/>
      <sz val="11"/>
      <color theme="0"/>
      <name val="Calibri"/>
      <family val="2"/>
      <scheme val="minor"/>
    </font>
    <font>
      <b/>
      <u/>
      <sz val="11"/>
      <color rgb="FFFF0000"/>
      <name val="Calibri"/>
      <family val="2"/>
      <scheme val="minor"/>
    </font>
    <font>
      <sz val="12"/>
      <color theme="1"/>
      <name val="Helvetica Neue"/>
      <family val="2"/>
    </font>
    <font>
      <sz val="11"/>
      <color rgb="FF000000"/>
      <name val="Calibri"/>
      <family val="2"/>
    </font>
    <font>
      <b/>
      <u/>
      <sz val="11"/>
      <name val="Calibri"/>
      <family val="2"/>
      <scheme val="minor"/>
    </font>
    <font>
      <sz val="11"/>
      <color theme="0"/>
      <name val="Calibri"/>
      <family val="2"/>
    </font>
    <font>
      <b/>
      <sz val="11"/>
      <color theme="2"/>
      <name val="Calibri"/>
      <family val="2"/>
      <scheme val="minor"/>
    </font>
    <font>
      <i/>
      <sz val="11"/>
      <color theme="5"/>
      <name val="Calibri"/>
      <family val="2"/>
      <scheme val="minor"/>
    </font>
    <font>
      <i/>
      <sz val="10"/>
      <name val="Calibri"/>
      <family val="2"/>
    </font>
  </fonts>
  <fills count="21">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rgb="FFFF7C80"/>
        <bgColor indexed="64"/>
      </patternFill>
    </fill>
    <fill>
      <patternFill patternType="solid">
        <fgColor rgb="FFDBC9FF"/>
        <bgColor indexed="64"/>
      </patternFill>
    </fill>
    <fill>
      <patternFill patternType="solid">
        <fgColor theme="4" tint="0.59999389629810485"/>
        <bgColor indexed="64"/>
      </patternFill>
    </fill>
    <fill>
      <patternFill patternType="solid">
        <fgColor rgb="FFFFFF00"/>
        <bgColor indexed="64"/>
      </patternFill>
    </fill>
    <fill>
      <patternFill patternType="solid">
        <fgColor theme="6" tint="0.79998168889431442"/>
        <bgColor indexed="64"/>
      </patternFill>
    </fill>
    <fill>
      <patternFill patternType="solid">
        <fgColor rgb="FF0000FF"/>
        <bgColor indexed="64"/>
      </patternFill>
    </fill>
    <fill>
      <patternFill patternType="solid">
        <fgColor rgb="FFC6EFCE"/>
      </patternFill>
    </fill>
    <fill>
      <patternFill patternType="solid">
        <fgColor rgb="FFFFC7CE"/>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4B084"/>
        <bgColor rgb="FF000000"/>
      </patternFill>
    </fill>
    <fill>
      <patternFill patternType="solid">
        <fgColor theme="7" tint="0.79998168889431442"/>
        <bgColor indexed="64"/>
      </patternFill>
    </fill>
    <fill>
      <patternFill patternType="solid">
        <fgColor rgb="FF00B050"/>
        <bgColor indexed="64"/>
      </patternFill>
    </fill>
    <fill>
      <patternFill patternType="solid">
        <fgColor theme="8" tint="0.79998168889431442"/>
        <bgColor indexed="64"/>
      </patternFill>
    </fill>
  </fills>
  <borders count="3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12">
    <xf numFmtId="0" fontId="0" fillId="0" borderId="0"/>
    <xf numFmtId="43" fontId="11" fillId="0" borderId="0" applyFont="0" applyFill="0" applyBorder="0" applyAlignment="0" applyProtection="0"/>
    <xf numFmtId="0" fontId="13" fillId="0" borderId="0" applyNumberFormat="0" applyFill="0" applyBorder="0" applyAlignment="0" applyProtection="0"/>
    <xf numFmtId="0" fontId="21" fillId="10" borderId="0" applyNumberFormat="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23" fillId="11" borderId="0" applyNumberFormat="0" applyBorder="0" applyAlignment="0" applyProtection="0"/>
    <xf numFmtId="44" fontId="11" fillId="0" borderId="0" applyFont="0" applyFill="0" applyBorder="0" applyAlignment="0" applyProtection="0"/>
    <xf numFmtId="0" fontId="26" fillId="0" borderId="0"/>
    <xf numFmtId="0" fontId="27" fillId="0" borderId="0" applyNumberFormat="0" applyFill="0" applyBorder="0" applyAlignment="0" applyProtection="0"/>
    <xf numFmtId="9" fontId="11" fillId="0" borderId="0" applyFont="0" applyFill="0" applyBorder="0" applyAlignment="0" applyProtection="0"/>
    <xf numFmtId="44" fontId="11" fillId="0" borderId="0" applyFont="0" applyFill="0" applyBorder="0" applyAlignment="0" applyProtection="0"/>
  </cellStyleXfs>
  <cellXfs count="409">
    <xf numFmtId="0" fontId="0" fillId="0" borderId="0" xfId="0"/>
    <xf numFmtId="4" fontId="0" fillId="0" borderId="0" xfId="0" applyNumberFormat="1"/>
    <xf numFmtId="4" fontId="2" fillId="0" borderId="0" xfId="0" applyNumberFormat="1" applyFont="1" applyAlignment="1">
      <alignment horizontal="right"/>
    </xf>
    <xf numFmtId="0" fontId="3" fillId="0" borderId="0" xfId="0" applyFont="1"/>
    <xf numFmtId="3" fontId="0" fillId="0" borderId="0" xfId="0" applyNumberFormat="1"/>
    <xf numFmtId="4" fontId="2" fillId="0" borderId="0" xfId="0" applyNumberFormat="1" applyFont="1" applyAlignment="1">
      <alignment horizontal="left"/>
    </xf>
    <xf numFmtId="0" fontId="0" fillId="0" borderId="0" xfId="0" applyAlignment="1">
      <alignment horizontal="left"/>
    </xf>
    <xf numFmtId="4" fontId="0" fillId="0" borderId="0" xfId="0" applyNumberFormat="1" applyAlignment="1">
      <alignment horizontal="left"/>
    </xf>
    <xf numFmtId="3" fontId="0" fillId="0" borderId="0" xfId="0" applyNumberFormat="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1" fillId="0" borderId="0" xfId="0" applyFont="1"/>
    <xf numFmtId="0" fontId="4" fillId="7" borderId="0" xfId="0" applyFont="1" applyFill="1"/>
    <xf numFmtId="0" fontId="1" fillId="7" borderId="0" xfId="0" applyFont="1" applyFill="1"/>
    <xf numFmtId="0" fontId="0" fillId="7" borderId="0" xfId="0" applyFill="1"/>
    <xf numFmtId="0" fontId="1" fillId="2" borderId="1" xfId="0" applyFont="1" applyFill="1" applyBorder="1"/>
    <xf numFmtId="0" fontId="0" fillId="2" borderId="3" xfId="0" applyFill="1" applyBorder="1"/>
    <xf numFmtId="0" fontId="1" fillId="3" borderId="1" xfId="0" applyFont="1" applyFill="1" applyBorder="1"/>
    <xf numFmtId="0" fontId="0" fillId="3" borderId="3" xfId="0" applyFill="1" applyBorder="1"/>
    <xf numFmtId="0" fontId="1" fillId="4" borderId="1" xfId="0" applyFont="1" applyFill="1" applyBorder="1"/>
    <xf numFmtId="0" fontId="0" fillId="4" borderId="3" xfId="0" applyFill="1" applyBorder="1"/>
    <xf numFmtId="0" fontId="1" fillId="5" borderId="1" xfId="0" applyFont="1" applyFill="1" applyBorder="1" applyAlignment="1">
      <alignment horizontal="left"/>
    </xf>
    <xf numFmtId="0" fontId="0" fillId="5" borderId="2" xfId="0" applyFill="1" applyBorder="1" applyAlignment="1">
      <alignment horizontal="left"/>
    </xf>
    <xf numFmtId="0" fontId="0" fillId="5" borderId="2" xfId="0" applyFill="1" applyBorder="1"/>
    <xf numFmtId="0" fontId="0" fillId="5" borderId="3" xfId="0" applyFill="1" applyBorder="1"/>
    <xf numFmtId="0" fontId="4" fillId="6" borderId="1" xfId="0" applyFont="1" applyFill="1" applyBorder="1"/>
    <xf numFmtId="0" fontId="5" fillId="6" borderId="3" xfId="0" applyFont="1" applyFill="1" applyBorder="1"/>
    <xf numFmtId="0" fontId="0" fillId="8" borderId="4" xfId="0" applyFill="1" applyBorder="1"/>
    <xf numFmtId="0" fontId="0" fillId="8" borderId="5" xfId="0" applyFill="1" applyBorder="1"/>
    <xf numFmtId="0" fontId="0" fillId="8" borderId="6" xfId="0" applyFill="1" applyBorder="1"/>
    <xf numFmtId="0" fontId="0" fillId="8" borderId="10" xfId="0" applyFill="1" applyBorder="1"/>
    <xf numFmtId="0" fontId="0" fillId="8" borderId="0" xfId="0" applyFill="1"/>
    <xf numFmtId="0" fontId="0" fillId="8" borderId="11" xfId="0" applyFill="1" applyBorder="1"/>
    <xf numFmtId="0" fontId="1" fillId="8" borderId="10" xfId="0" applyFont="1" applyFill="1" applyBorder="1"/>
    <xf numFmtId="0" fontId="0" fillId="8" borderId="7" xfId="0" applyFill="1" applyBorder="1"/>
    <xf numFmtId="0" fontId="0" fillId="8" borderId="8" xfId="0" applyFill="1" applyBorder="1"/>
    <xf numFmtId="0" fontId="0" fillId="8" borderId="9" xfId="0" applyFill="1" applyBorder="1"/>
    <xf numFmtId="0" fontId="7" fillId="8" borderId="0" xfId="0" applyFont="1" applyFill="1"/>
    <xf numFmtId="0" fontId="7" fillId="8" borderId="10" xfId="0" applyFont="1" applyFill="1" applyBorder="1"/>
    <xf numFmtId="0" fontId="6" fillId="8" borderId="10" xfId="0" applyFont="1" applyFill="1" applyBorder="1"/>
    <xf numFmtId="0" fontId="1" fillId="8" borderId="0" xfId="0" applyFont="1" applyFill="1"/>
    <xf numFmtId="0" fontId="1" fillId="8" borderId="8" xfId="0" applyFont="1" applyFill="1" applyBorder="1"/>
    <xf numFmtId="0" fontId="0" fillId="0" borderId="12" xfId="0" applyBorder="1"/>
    <xf numFmtId="0" fontId="8" fillId="0" borderId="12" xfId="0" applyFont="1" applyBorder="1" applyAlignment="1">
      <alignment horizontal="center" vertical="center"/>
    </xf>
    <xf numFmtId="0" fontId="0" fillId="0" borderId="0" xfId="0" applyAlignment="1">
      <alignment horizontal="center" vertical="center"/>
    </xf>
    <xf numFmtId="0" fontId="0" fillId="0" borderId="12" xfId="0" applyBorder="1" applyAlignment="1">
      <alignment horizontal="left" vertical="center"/>
    </xf>
    <xf numFmtId="0" fontId="0" fillId="0" borderId="13" xfId="0" applyBorder="1" applyAlignment="1">
      <alignment horizontal="center" vertical="center"/>
    </xf>
    <xf numFmtId="0" fontId="0" fillId="0" borderId="12" xfId="0" applyBorder="1" applyAlignment="1">
      <alignment horizontal="left" vertical="center" wrapText="1"/>
    </xf>
    <xf numFmtId="0" fontId="0" fillId="0" borderId="0" xfId="0" applyAlignment="1">
      <alignment vertical="center" wrapText="1"/>
    </xf>
    <xf numFmtId="0" fontId="0" fillId="0" borderId="14" xfId="0" applyBorder="1" applyAlignment="1">
      <alignment horizontal="center" vertical="center"/>
    </xf>
    <xf numFmtId="0" fontId="15" fillId="0" borderId="0" xfId="0" applyFont="1"/>
    <xf numFmtId="0" fontId="10" fillId="0" borderId="12" xfId="0" applyFont="1" applyBorder="1" applyAlignment="1">
      <alignment horizontal="left" vertical="center" wrapText="1"/>
    </xf>
    <xf numFmtId="0" fontId="14" fillId="0" borderId="12" xfId="0" applyFont="1" applyBorder="1" applyAlignment="1">
      <alignment horizontal="left" vertical="center" wrapText="1"/>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left" vertical="center" wrapText="1"/>
    </xf>
    <xf numFmtId="0" fontId="16" fillId="9" borderId="0" xfId="0" applyFont="1" applyFill="1" applyAlignment="1">
      <alignment horizontal="left" vertical="center" wrapText="1"/>
    </xf>
    <xf numFmtId="0" fontId="16" fillId="9" borderId="0" xfId="0" applyFont="1" applyFill="1" applyAlignment="1">
      <alignment horizontal="center" vertical="center" wrapText="1"/>
    </xf>
    <xf numFmtId="0" fontId="16" fillId="9" borderId="0" xfId="0" applyFont="1" applyFill="1" applyAlignment="1">
      <alignment horizontal="center" vertical="center"/>
    </xf>
    <xf numFmtId="0" fontId="17" fillId="9" borderId="0" xfId="0" applyFont="1" applyFill="1"/>
    <xf numFmtId="0" fontId="0" fillId="0" borderId="0" xfId="0" applyAlignment="1">
      <alignment horizontal="center"/>
    </xf>
    <xf numFmtId="0" fontId="0" fillId="0" borderId="12" xfId="0" applyBorder="1" applyAlignment="1">
      <alignment wrapText="1"/>
    </xf>
    <xf numFmtId="0" fontId="20" fillId="0" borderId="0" xfId="0" applyFont="1"/>
    <xf numFmtId="164" fontId="0" fillId="0" borderId="12" xfId="1" applyNumberFormat="1" applyFont="1" applyFill="1" applyBorder="1"/>
    <xf numFmtId="0" fontId="3" fillId="0" borderId="0" xfId="0" applyFont="1" applyAlignment="1">
      <alignment horizontal="center" wrapText="1"/>
    </xf>
    <xf numFmtId="0" fontId="3" fillId="0" borderId="0" xfId="0" applyFont="1" applyAlignment="1">
      <alignment wrapText="1"/>
    </xf>
    <xf numFmtId="0" fontId="8" fillId="0" borderId="0" xfId="0" applyFont="1" applyAlignment="1">
      <alignment wrapText="1"/>
    </xf>
    <xf numFmtId="0" fontId="1" fillId="0" borderId="0" xfId="0" applyFont="1" applyAlignment="1">
      <alignment horizontal="center" vertical="center" wrapText="1"/>
    </xf>
    <xf numFmtId="0" fontId="1" fillId="14" borderId="0" xfId="0" applyFont="1" applyFill="1" applyAlignment="1">
      <alignment vertical="center" wrapText="1"/>
    </xf>
    <xf numFmtId="0" fontId="0" fillId="14" borderId="0" xfId="0" applyFill="1" applyAlignment="1">
      <alignment vertical="center" wrapText="1"/>
    </xf>
    <xf numFmtId="0" fontId="0" fillId="14" borderId="0" xfId="0" applyFill="1" applyAlignment="1">
      <alignment wrapText="1"/>
    </xf>
    <xf numFmtId="0" fontId="0" fillId="0" borderId="0" xfId="0" applyAlignment="1">
      <alignment wrapText="1"/>
    </xf>
    <xf numFmtId="0" fontId="0" fillId="0" borderId="0" xfId="0" applyAlignment="1">
      <alignment horizontal="center" vertical="center" wrapText="1"/>
    </xf>
    <xf numFmtId="10" fontId="0" fillId="0" borderId="0" xfId="0" applyNumberFormat="1" applyAlignment="1">
      <alignment vertical="center" wrapText="1"/>
    </xf>
    <xf numFmtId="10" fontId="5" fillId="0" borderId="0" xfId="3" applyNumberFormat="1" applyFont="1" applyFill="1" applyAlignment="1">
      <alignment vertical="center" wrapText="1"/>
    </xf>
    <xf numFmtId="0" fontId="0" fillId="0" borderId="0" xfId="0" applyAlignment="1">
      <alignment horizontal="right" vertical="center" wrapText="1"/>
    </xf>
    <xf numFmtId="10" fontId="0" fillId="0" borderId="0" xfId="4" applyNumberFormat="1" applyFont="1" applyAlignment="1">
      <alignment vertical="center" wrapText="1"/>
    </xf>
    <xf numFmtId="165" fontId="0" fillId="0" borderId="0" xfId="4" applyNumberFormat="1" applyFont="1" applyAlignment="1">
      <alignment vertical="center" wrapText="1"/>
    </xf>
    <xf numFmtId="0" fontId="13" fillId="0" borderId="0" xfId="2" applyAlignment="1">
      <alignment wrapText="1"/>
    </xf>
    <xf numFmtId="166" fontId="0" fillId="0" borderId="0" xfId="4" applyNumberFormat="1" applyFont="1" applyAlignment="1">
      <alignment vertical="center" wrapText="1"/>
    </xf>
    <xf numFmtId="0" fontId="0" fillId="0" borderId="0" xfId="0" applyAlignment="1">
      <alignment horizontal="left" wrapText="1"/>
    </xf>
    <xf numFmtId="0" fontId="0" fillId="0" borderId="0" xfId="0" applyAlignment="1">
      <alignment horizontal="right" wrapText="1"/>
    </xf>
    <xf numFmtId="9" fontId="0" fillId="0" borderId="0" xfId="4" applyFont="1" applyAlignment="1">
      <alignment vertical="center" wrapText="1"/>
    </xf>
    <xf numFmtId="9" fontId="0" fillId="0" borderId="0" xfId="0" applyNumberFormat="1" applyAlignment="1">
      <alignment vertical="center" wrapText="1"/>
    </xf>
    <xf numFmtId="167" fontId="0" fillId="0" borderId="0" xfId="5" applyNumberFormat="1" applyFont="1" applyAlignment="1">
      <alignment vertical="center" wrapText="1"/>
    </xf>
    <xf numFmtId="0" fontId="0" fillId="14" borderId="0" xfId="0" applyFill="1" applyAlignment="1">
      <alignment horizontal="right" vertical="center" wrapText="1"/>
    </xf>
    <xf numFmtId="0" fontId="22"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167" fontId="5" fillId="0" borderId="0" xfId="5" applyNumberFormat="1" applyFont="1" applyFill="1" applyAlignment="1">
      <alignment vertical="center" wrapText="1"/>
    </xf>
    <xf numFmtId="0" fontId="5" fillId="0" borderId="0" xfId="0" applyFont="1" applyAlignment="1">
      <alignment wrapText="1"/>
    </xf>
    <xf numFmtId="0" fontId="5" fillId="0" borderId="0" xfId="0" applyFont="1" applyAlignment="1">
      <alignment horizontal="right" vertical="center" wrapText="1"/>
    </xf>
    <xf numFmtId="0" fontId="5" fillId="0" borderId="0" xfId="6" applyFont="1" applyFill="1" applyAlignment="1">
      <alignment vertical="center" wrapText="1"/>
    </xf>
    <xf numFmtId="167" fontId="5" fillId="0" borderId="0" xfId="6" applyNumberFormat="1" applyFont="1" applyFill="1" applyAlignment="1">
      <alignment vertical="center" wrapText="1"/>
    </xf>
    <xf numFmtId="0" fontId="5" fillId="0" borderId="0" xfId="6" applyFont="1" applyFill="1" applyBorder="1" applyAlignment="1">
      <alignment vertical="center" wrapText="1"/>
    </xf>
    <xf numFmtId="1" fontId="0" fillId="0" borderId="0" xfId="4" applyNumberFormat="1" applyFont="1" applyAlignment="1">
      <alignment vertical="center" wrapText="1"/>
    </xf>
    <xf numFmtId="0" fontId="13" fillId="0" borderId="0" xfId="2" applyAlignment="1">
      <alignment horizontal="left" wrapText="1"/>
    </xf>
    <xf numFmtId="0" fontId="13" fillId="0" borderId="0" xfId="2" applyAlignment="1">
      <alignment horizontal="left" vertical="center" wrapText="1"/>
    </xf>
    <xf numFmtId="43" fontId="0" fillId="0" borderId="0" xfId="5" applyFont="1" applyAlignment="1">
      <alignment vertical="center" wrapText="1"/>
    </xf>
    <xf numFmtId="0" fontId="13" fillId="0" borderId="0" xfId="2" applyFill="1" applyAlignment="1">
      <alignment horizontal="left" vertical="center" wrapText="1"/>
    </xf>
    <xf numFmtId="10" fontId="0" fillId="0" borderId="0" xfId="4" applyNumberFormat="1" applyFont="1" applyFill="1" applyAlignment="1">
      <alignment vertical="center" wrapText="1"/>
    </xf>
    <xf numFmtId="2" fontId="0" fillId="0" borderId="0" xfId="0" applyNumberFormat="1" applyAlignment="1">
      <alignment vertical="center" wrapText="1"/>
    </xf>
    <xf numFmtId="49" fontId="0" fillId="0" borderId="0" xfId="0" applyNumberFormat="1" applyAlignment="1">
      <alignment vertical="center" wrapText="1"/>
    </xf>
    <xf numFmtId="49" fontId="13" fillId="0" borderId="0" xfId="2" applyNumberFormat="1" applyAlignment="1">
      <alignment vertical="center" wrapText="1"/>
    </xf>
    <xf numFmtId="0" fontId="1" fillId="0" borderId="0" xfId="0" applyFont="1" applyAlignment="1">
      <alignment vertical="center" wrapText="1"/>
    </xf>
    <xf numFmtId="0" fontId="5" fillId="0" borderId="0" xfId="3" applyFont="1" applyFill="1" applyBorder="1" applyAlignment="1">
      <alignment vertical="center" wrapText="1"/>
    </xf>
    <xf numFmtId="164" fontId="5" fillId="0" borderId="0" xfId="3" applyNumberFormat="1" applyFont="1" applyFill="1" applyBorder="1" applyAlignment="1">
      <alignment vertical="center" wrapText="1"/>
    </xf>
    <xf numFmtId="168" fontId="0" fillId="0" borderId="0" xfId="5" applyNumberFormat="1" applyFont="1" applyAlignment="1">
      <alignment vertical="center" wrapText="1"/>
    </xf>
    <xf numFmtId="164" fontId="0" fillId="0" borderId="0" xfId="5" applyNumberFormat="1" applyFont="1" applyFill="1" applyAlignment="1">
      <alignment vertical="center" wrapText="1"/>
    </xf>
    <xf numFmtId="0" fontId="13" fillId="0" borderId="0" xfId="2" applyFill="1" applyAlignment="1">
      <alignment wrapText="1"/>
    </xf>
    <xf numFmtId="164" fontId="0" fillId="0" borderId="0" xfId="5" applyNumberFormat="1" applyFont="1" applyAlignment="1">
      <alignment vertical="center" wrapText="1"/>
    </xf>
    <xf numFmtId="2" fontId="0" fillId="0" borderId="0" xfId="7" applyNumberFormat="1" applyFont="1" applyAlignment="1">
      <alignment vertical="center" wrapText="1"/>
    </xf>
    <xf numFmtId="1" fontId="0" fillId="0" borderId="0" xfId="7" applyNumberFormat="1" applyFont="1" applyAlignment="1">
      <alignment vertical="center" wrapText="1"/>
    </xf>
    <xf numFmtId="2" fontId="0" fillId="0" borderId="0" xfId="7" applyNumberFormat="1" applyFont="1" applyFill="1" applyAlignment="1">
      <alignment vertical="center" wrapText="1"/>
    </xf>
    <xf numFmtId="0" fontId="6" fillId="0" borderId="0" xfId="0" applyFont="1" applyAlignment="1">
      <alignment vertical="center" wrapText="1"/>
    </xf>
    <xf numFmtId="41" fontId="0" fillId="0" borderId="0" xfId="0" applyNumberFormat="1" applyAlignment="1">
      <alignment vertical="center" wrapText="1"/>
    </xf>
    <xf numFmtId="164" fontId="0" fillId="0" borderId="0" xfId="0" applyNumberFormat="1" applyAlignment="1">
      <alignment vertical="center" wrapText="1"/>
    </xf>
    <xf numFmtId="2" fontId="0" fillId="0" borderId="0" xfId="4" applyNumberFormat="1" applyFont="1" applyAlignment="1">
      <alignment vertical="center" wrapText="1"/>
    </xf>
    <xf numFmtId="0" fontId="13" fillId="0" borderId="0" xfId="2" applyAlignment="1">
      <alignment vertical="center" wrapText="1"/>
    </xf>
    <xf numFmtId="166" fontId="0" fillId="0" borderId="0" xfId="0" applyNumberFormat="1" applyAlignment="1">
      <alignment vertical="center" wrapText="1"/>
    </xf>
    <xf numFmtId="169" fontId="0" fillId="0" borderId="0" xfId="4" applyNumberFormat="1" applyFont="1" applyAlignment="1">
      <alignment vertical="center" wrapText="1"/>
    </xf>
    <xf numFmtId="9" fontId="0" fillId="0" borderId="0" xfId="7" applyNumberFormat="1" applyFont="1" applyAlignment="1">
      <alignment vertical="center" wrapText="1"/>
    </xf>
    <xf numFmtId="10" fontId="0" fillId="0" borderId="0" xfId="7" applyNumberFormat="1" applyFont="1" applyAlignment="1">
      <alignment vertical="center" wrapText="1"/>
    </xf>
    <xf numFmtId="164" fontId="0" fillId="7" borderId="0" xfId="5" applyNumberFormat="1" applyFont="1" applyFill="1" applyAlignment="1">
      <alignment vertical="center" wrapText="1"/>
    </xf>
    <xf numFmtId="170" fontId="0" fillId="0" borderId="0" xfId="4" applyNumberFormat="1" applyFont="1" applyAlignment="1">
      <alignment vertical="center" wrapText="1"/>
    </xf>
    <xf numFmtId="9" fontId="0" fillId="0" borderId="0" xfId="5" applyNumberFormat="1" applyFont="1" applyFill="1" applyAlignment="1">
      <alignment vertical="center" wrapText="1"/>
    </xf>
    <xf numFmtId="3" fontId="0" fillId="0" borderId="0" xfId="0" applyNumberFormat="1" applyAlignment="1">
      <alignment horizontal="right" vertical="center" wrapText="1"/>
    </xf>
    <xf numFmtId="0" fontId="24" fillId="0" borderId="0" xfId="0" applyFont="1" applyAlignment="1">
      <alignment vertical="center" wrapText="1"/>
    </xf>
    <xf numFmtId="10" fontId="5" fillId="0" borderId="0" xfId="3" applyNumberFormat="1" applyFont="1" applyFill="1" applyBorder="1" applyAlignment="1">
      <alignment vertical="center" wrapText="1"/>
    </xf>
    <xf numFmtId="10" fontId="0" fillId="0" borderId="0" xfId="4" applyNumberFormat="1" applyFont="1" applyFill="1" applyBorder="1" applyAlignment="1">
      <alignment vertical="center" wrapText="1"/>
    </xf>
    <xf numFmtId="165" fontId="0" fillId="0" borderId="0" xfId="4" applyNumberFormat="1" applyFont="1" applyFill="1" applyBorder="1" applyAlignment="1">
      <alignment vertical="center" wrapText="1"/>
    </xf>
    <xf numFmtId="0" fontId="13" fillId="0" borderId="0" xfId="2" applyFill="1" applyBorder="1" applyAlignment="1">
      <alignment wrapText="1"/>
    </xf>
    <xf numFmtId="166" fontId="0" fillId="0" borderId="0" xfId="4" applyNumberFormat="1" applyFont="1" applyFill="1" applyBorder="1" applyAlignment="1">
      <alignment vertical="center" wrapText="1"/>
    </xf>
    <xf numFmtId="9" fontId="0" fillId="0" borderId="0" xfId="4" applyFont="1" applyFill="1" applyBorder="1" applyAlignment="1">
      <alignment vertical="center" wrapText="1"/>
    </xf>
    <xf numFmtId="167" fontId="0" fillId="0" borderId="0" xfId="5" applyNumberFormat="1" applyFont="1" applyFill="1" applyBorder="1" applyAlignment="1">
      <alignment vertical="center" wrapText="1"/>
    </xf>
    <xf numFmtId="167" fontId="5" fillId="0" borderId="0" xfId="5" applyNumberFormat="1" applyFont="1" applyFill="1" applyBorder="1" applyAlignment="1">
      <alignment vertical="center" wrapText="1"/>
    </xf>
    <xf numFmtId="167" fontId="5" fillId="0" borderId="0" xfId="6" applyNumberFormat="1" applyFont="1" applyFill="1" applyBorder="1" applyAlignment="1">
      <alignment vertical="center" wrapText="1"/>
    </xf>
    <xf numFmtId="1" fontId="0" fillId="0" borderId="0" xfId="4" applyNumberFormat="1" applyFont="1" applyFill="1" applyBorder="1" applyAlignment="1">
      <alignment vertical="center" wrapText="1"/>
    </xf>
    <xf numFmtId="0" fontId="13" fillId="0" borderId="0" xfId="2" applyFill="1" applyBorder="1" applyAlignment="1">
      <alignment horizontal="left" wrapText="1"/>
    </xf>
    <xf numFmtId="0" fontId="13" fillId="0" borderId="0" xfId="2" applyFill="1" applyBorder="1" applyAlignment="1">
      <alignment horizontal="left" vertical="center" wrapText="1"/>
    </xf>
    <xf numFmtId="43" fontId="0" fillId="0" borderId="0" xfId="5" applyFont="1" applyFill="1" applyBorder="1" applyAlignment="1">
      <alignment vertical="center" wrapText="1"/>
    </xf>
    <xf numFmtId="49" fontId="13" fillId="0" borderId="0" xfId="2" applyNumberFormat="1" applyFill="1" applyBorder="1" applyAlignment="1">
      <alignment vertical="center" wrapText="1"/>
    </xf>
    <xf numFmtId="168" fontId="0" fillId="0" borderId="0" xfId="5" applyNumberFormat="1" applyFont="1" applyFill="1" applyBorder="1" applyAlignment="1">
      <alignment vertical="center" wrapText="1"/>
    </xf>
    <xf numFmtId="164" fontId="0" fillId="0" borderId="0" xfId="5" applyNumberFormat="1" applyFont="1" applyFill="1" applyBorder="1" applyAlignment="1">
      <alignment vertical="center" wrapText="1"/>
    </xf>
    <xf numFmtId="2" fontId="0" fillId="0" borderId="0" xfId="7" applyNumberFormat="1" applyFont="1" applyFill="1" applyBorder="1" applyAlignment="1">
      <alignment vertical="center" wrapText="1"/>
    </xf>
    <xf numFmtId="1" fontId="0" fillId="0" borderId="0" xfId="7" applyNumberFormat="1" applyFont="1" applyFill="1" applyBorder="1" applyAlignment="1">
      <alignment vertical="center" wrapText="1"/>
    </xf>
    <xf numFmtId="2" fontId="0" fillId="0" borderId="0" xfId="4" applyNumberFormat="1" applyFont="1" applyFill="1" applyBorder="1" applyAlignment="1">
      <alignment vertical="center" wrapText="1"/>
    </xf>
    <xf numFmtId="0" fontId="13" fillId="0" borderId="0" xfId="2" applyFill="1" applyBorder="1" applyAlignment="1">
      <alignment vertical="center" wrapText="1"/>
    </xf>
    <xf numFmtId="169" fontId="0" fillId="0" borderId="0" xfId="4" applyNumberFormat="1" applyFont="1" applyFill="1" applyBorder="1" applyAlignment="1">
      <alignment vertical="center" wrapText="1"/>
    </xf>
    <xf numFmtId="9" fontId="0" fillId="0" borderId="0" xfId="7" applyNumberFormat="1" applyFont="1" applyFill="1" applyBorder="1" applyAlignment="1">
      <alignment vertical="center" wrapText="1"/>
    </xf>
    <xf numFmtId="10" fontId="0" fillId="0" borderId="0" xfId="7" applyNumberFormat="1" applyFont="1" applyFill="1" applyBorder="1" applyAlignment="1">
      <alignment vertical="center" wrapText="1"/>
    </xf>
    <xf numFmtId="0" fontId="25" fillId="0" borderId="0" xfId="0" applyFont="1"/>
    <xf numFmtId="170" fontId="0" fillId="0" borderId="0" xfId="4" applyNumberFormat="1" applyFont="1" applyFill="1" applyBorder="1" applyAlignment="1">
      <alignment vertical="center" wrapText="1"/>
    </xf>
    <xf numFmtId="9" fontId="0" fillId="0" borderId="0" xfId="5" applyNumberFormat="1" applyFont="1" applyFill="1" applyBorder="1" applyAlignment="1">
      <alignment vertical="center" wrapText="1"/>
    </xf>
    <xf numFmtId="0" fontId="1" fillId="15" borderId="0" xfId="0" applyFont="1" applyFill="1" applyAlignment="1">
      <alignment horizontal="center" vertical="center" wrapText="1"/>
    </xf>
    <xf numFmtId="0" fontId="1" fillId="16" borderId="0" xfId="0" applyFont="1" applyFill="1" applyAlignment="1">
      <alignment horizontal="center" vertical="center" wrapText="1"/>
    </xf>
    <xf numFmtId="0" fontId="19" fillId="0" borderId="0" xfId="0" applyFont="1" applyAlignment="1">
      <alignment wrapText="1"/>
    </xf>
    <xf numFmtId="3" fontId="0" fillId="0" borderId="0" xfId="0" applyNumberFormat="1" applyAlignment="1">
      <alignment wrapText="1"/>
    </xf>
    <xf numFmtId="0" fontId="13" fillId="0" borderId="0" xfId="2"/>
    <xf numFmtId="0" fontId="10" fillId="0" borderId="0" xfId="8" applyFont="1" applyAlignment="1">
      <alignment vertical="center" wrapText="1"/>
    </xf>
    <xf numFmtId="0" fontId="19" fillId="0" borderId="0" xfId="8" applyFont="1" applyAlignment="1">
      <alignment vertical="center"/>
    </xf>
    <xf numFmtId="0" fontId="19" fillId="0" borderId="0" xfId="8" applyFont="1" applyAlignment="1">
      <alignment vertical="center" wrapText="1"/>
    </xf>
    <xf numFmtId="0" fontId="19" fillId="0" borderId="0" xfId="8" applyFont="1" applyAlignment="1">
      <alignment horizontal="center" vertical="center" wrapText="1"/>
    </xf>
    <xf numFmtId="0" fontId="19" fillId="0" borderId="0" xfId="8" applyFont="1" applyAlignment="1">
      <alignment horizontal="left" vertical="center" wrapText="1"/>
    </xf>
    <xf numFmtId="0" fontId="14" fillId="0" borderId="0" xfId="8" applyFont="1" applyAlignment="1">
      <alignment vertical="center" wrapText="1"/>
    </xf>
    <xf numFmtId="0" fontId="14" fillId="0" borderId="0" xfId="8" applyFont="1" applyAlignment="1">
      <alignment horizontal="center" vertical="center" wrapText="1"/>
    </xf>
    <xf numFmtId="0" fontId="14" fillId="0" borderId="0" xfId="8" applyFont="1" applyAlignment="1">
      <alignment vertical="center"/>
    </xf>
    <xf numFmtId="0" fontId="14" fillId="17" borderId="0" xfId="8" applyFont="1" applyFill="1" applyAlignment="1">
      <alignment vertical="center" wrapText="1"/>
    </xf>
    <xf numFmtId="0" fontId="10" fillId="17" borderId="0" xfId="8" applyFont="1" applyFill="1" applyAlignment="1">
      <alignment horizontal="center" vertical="center" wrapText="1"/>
    </xf>
    <xf numFmtId="0" fontId="14" fillId="17" borderId="0" xfId="8" applyFont="1" applyFill="1" applyAlignment="1">
      <alignment horizontal="center" vertical="center" wrapText="1"/>
    </xf>
    <xf numFmtId="0" fontId="10" fillId="17" borderId="0" xfId="8" applyFont="1" applyFill="1" applyAlignment="1">
      <alignment vertical="center" wrapText="1"/>
    </xf>
    <xf numFmtId="0" fontId="10" fillId="17" borderId="0" xfId="8" applyFont="1" applyFill="1" applyAlignment="1">
      <alignment horizontal="left" vertical="center" wrapText="1"/>
    </xf>
    <xf numFmtId="0" fontId="10" fillId="17" borderId="0" xfId="8" applyFont="1" applyFill="1" applyAlignment="1">
      <alignment vertical="center"/>
    </xf>
    <xf numFmtId="0" fontId="10" fillId="0" borderId="0" xfId="8" applyFont="1" applyAlignment="1">
      <alignment horizontal="center" vertical="center" wrapText="1"/>
    </xf>
    <xf numFmtId="10" fontId="12" fillId="0" borderId="0" xfId="8" applyNumberFormat="1" applyFont="1" applyAlignment="1">
      <alignment horizontal="center" vertical="center" wrapText="1"/>
    </xf>
    <xf numFmtId="0" fontId="10" fillId="0" borderId="0" xfId="8" applyFont="1" applyAlignment="1">
      <alignment horizontal="left" vertical="center" wrapText="1"/>
    </xf>
    <xf numFmtId="0" fontId="27" fillId="0" borderId="0" xfId="9" applyAlignment="1">
      <alignment vertical="center"/>
    </xf>
    <xf numFmtId="10" fontId="10" fillId="0" borderId="0" xfId="8" applyNumberFormat="1" applyFont="1" applyAlignment="1">
      <alignment horizontal="center" vertical="center" wrapText="1"/>
    </xf>
    <xf numFmtId="0" fontId="10" fillId="0" borderId="0" xfId="8" applyFont="1" applyAlignment="1">
      <alignment vertical="center"/>
    </xf>
    <xf numFmtId="0" fontId="14" fillId="17" borderId="0" xfId="8" applyFont="1" applyFill="1" applyAlignment="1">
      <alignment vertical="center"/>
    </xf>
    <xf numFmtId="0" fontId="14" fillId="17" borderId="0" xfId="8" applyFont="1" applyFill="1" applyAlignment="1">
      <alignment horizontal="center" vertical="center"/>
    </xf>
    <xf numFmtId="2" fontId="10" fillId="0" borderId="0" xfId="8" applyNumberFormat="1" applyFont="1" applyAlignment="1">
      <alignment horizontal="center" vertical="center" wrapText="1"/>
    </xf>
    <xf numFmtId="9" fontId="10" fillId="0" borderId="0" xfId="8" applyNumberFormat="1" applyFont="1" applyAlignment="1">
      <alignment horizontal="center" vertical="center" wrapText="1"/>
    </xf>
    <xf numFmtId="10" fontId="19" fillId="0" borderId="0" xfId="8" applyNumberFormat="1" applyFont="1" applyAlignment="1">
      <alignment horizontal="center" vertical="center" wrapText="1"/>
    </xf>
    <xf numFmtId="9" fontId="19" fillId="0" borderId="0" xfId="8" applyNumberFormat="1" applyFont="1" applyAlignment="1">
      <alignment horizontal="center" vertical="center" wrapText="1"/>
    </xf>
    <xf numFmtId="10" fontId="19" fillId="0" borderId="0" xfId="8" applyNumberFormat="1" applyFont="1" applyAlignment="1">
      <alignment vertical="center" wrapText="1"/>
    </xf>
    <xf numFmtId="2" fontId="21" fillId="0" borderId="0" xfId="3" applyNumberFormat="1" applyFill="1" applyAlignment="1">
      <alignment horizontal="center" vertical="center" wrapText="1"/>
    </xf>
    <xf numFmtId="171" fontId="10" fillId="0" borderId="0" xfId="8" applyNumberFormat="1" applyFont="1" applyAlignment="1">
      <alignment horizontal="center" vertical="center" wrapText="1"/>
    </xf>
    <xf numFmtId="0" fontId="21" fillId="0" borderId="0" xfId="3" applyFill="1" applyAlignment="1">
      <alignment horizontal="center" vertical="center" wrapText="1"/>
    </xf>
    <xf numFmtId="171" fontId="21" fillId="0" borderId="0" xfId="3" applyNumberFormat="1" applyFill="1" applyAlignment="1">
      <alignment horizontal="center" vertical="center" wrapText="1"/>
    </xf>
    <xf numFmtId="2" fontId="23" fillId="0" borderId="0" xfId="7" applyNumberFormat="1" applyFont="1" applyAlignment="1">
      <alignment horizontal="center" vertical="center" wrapText="1"/>
    </xf>
    <xf numFmtId="0" fontId="10" fillId="0" borderId="0" xfId="8" applyFont="1" applyAlignment="1">
      <alignment wrapText="1"/>
    </xf>
    <xf numFmtId="4" fontId="10" fillId="0" borderId="0" xfId="8" applyNumberFormat="1" applyFont="1" applyAlignment="1">
      <alignment horizontal="center" vertical="center" wrapText="1"/>
    </xf>
    <xf numFmtId="0" fontId="12" fillId="0" borderId="0" xfId="8" applyFont="1" applyAlignment="1">
      <alignment vertical="center" wrapText="1"/>
    </xf>
    <xf numFmtId="165" fontId="10" fillId="0" borderId="0" xfId="8" applyNumberFormat="1" applyFont="1" applyAlignment="1">
      <alignment horizontal="center" vertical="center" wrapText="1"/>
    </xf>
    <xf numFmtId="3" fontId="10" fillId="0" borderId="0" xfId="8" applyNumberFormat="1" applyFont="1" applyAlignment="1">
      <alignment horizontal="center" vertical="center" wrapText="1"/>
    </xf>
    <xf numFmtId="0" fontId="10" fillId="17" borderId="0" xfId="8" applyFont="1" applyFill="1" applyAlignment="1">
      <alignment horizontal="center" vertical="center"/>
    </xf>
    <xf numFmtId="2" fontId="19" fillId="0" borderId="0" xfId="8" applyNumberFormat="1" applyFont="1" applyAlignment="1">
      <alignment horizontal="center" vertical="center" wrapText="1"/>
    </xf>
    <xf numFmtId="165" fontId="19" fillId="0" borderId="0" xfId="8" applyNumberFormat="1" applyFont="1" applyAlignment="1">
      <alignment horizontal="center" vertical="center" wrapText="1"/>
    </xf>
    <xf numFmtId="0" fontId="13" fillId="0" borderId="0" xfId="2" applyAlignment="1">
      <alignment vertical="center"/>
    </xf>
    <xf numFmtId="10" fontId="19" fillId="0" borderId="0" xfId="4" applyNumberFormat="1" applyFont="1" applyAlignment="1">
      <alignment horizontal="center" vertical="center" wrapText="1"/>
    </xf>
    <xf numFmtId="0" fontId="29" fillId="0" borderId="0" xfId="0" applyFont="1" applyAlignment="1">
      <alignment vertical="center" wrapText="1"/>
    </xf>
    <xf numFmtId="0" fontId="29" fillId="0" borderId="0" xfId="0" applyFont="1" applyAlignment="1">
      <alignment horizontal="center" vertical="center" wrapText="1"/>
    </xf>
    <xf numFmtId="0" fontId="29" fillId="0" borderId="0" xfId="0" applyFont="1" applyAlignment="1">
      <alignment wrapText="1"/>
    </xf>
    <xf numFmtId="0" fontId="29" fillId="0" borderId="0" xfId="0" applyFont="1" applyAlignment="1">
      <alignment horizontal="right" vertical="center" wrapText="1"/>
    </xf>
    <xf numFmtId="0" fontId="0" fillId="13" borderId="0" xfId="0" applyFill="1"/>
    <xf numFmtId="0" fontId="0" fillId="18" borderId="0" xfId="0" applyFill="1"/>
    <xf numFmtId="0" fontId="0" fillId="12" borderId="0" xfId="0" applyFill="1"/>
    <xf numFmtId="164" fontId="0" fillId="0" borderId="0" xfId="1" applyNumberFormat="1" applyFont="1"/>
    <xf numFmtId="164" fontId="0" fillId="3" borderId="3" xfId="1" applyNumberFormat="1" applyFont="1" applyFill="1" applyBorder="1"/>
    <xf numFmtId="0" fontId="2" fillId="0" borderId="12" xfId="0" applyFont="1" applyBorder="1" applyAlignment="1">
      <alignment horizontal="right"/>
    </xf>
    <xf numFmtId="43" fontId="0" fillId="0" borderId="0" xfId="1" applyFont="1" applyAlignment="1">
      <alignment wrapText="1"/>
    </xf>
    <xf numFmtId="10" fontId="5" fillId="0" borderId="12" xfId="3" applyNumberFormat="1" applyFont="1" applyFill="1" applyBorder="1" applyAlignment="1">
      <alignment vertical="center" wrapText="1"/>
    </xf>
    <xf numFmtId="0" fontId="13" fillId="0" borderId="12" xfId="2" applyFill="1" applyBorder="1" applyAlignment="1">
      <alignment horizontal="center"/>
    </xf>
    <xf numFmtId="0" fontId="13" fillId="0" borderId="12" xfId="2" applyFill="1" applyBorder="1" applyAlignment="1">
      <alignment horizontal="center" vertical="center"/>
    </xf>
    <xf numFmtId="43" fontId="10" fillId="0" borderId="12" xfId="1" applyFont="1" applyFill="1" applyBorder="1" applyAlignment="1">
      <alignment horizontal="center" vertical="center" wrapText="1"/>
    </xf>
    <xf numFmtId="0" fontId="33" fillId="19" borderId="0" xfId="0" applyFont="1" applyFill="1"/>
    <xf numFmtId="172" fontId="0" fillId="0" borderId="0" xfId="0" applyNumberFormat="1"/>
    <xf numFmtId="0" fontId="6" fillId="0" borderId="0" xfId="0" applyFont="1"/>
    <xf numFmtId="0" fontId="34" fillId="0" borderId="15" xfId="0" applyFont="1" applyBorder="1"/>
    <xf numFmtId="0" fontId="0" fillId="0" borderId="15" xfId="0" applyBorder="1"/>
    <xf numFmtId="0" fontId="3" fillId="12" borderId="0" xfId="0" applyFont="1" applyFill="1"/>
    <xf numFmtId="0" fontId="35" fillId="12" borderId="0" xfId="0" applyFont="1" applyFill="1"/>
    <xf numFmtId="0" fontId="3" fillId="13" borderId="0" xfId="0" applyFont="1" applyFill="1"/>
    <xf numFmtId="0" fontId="35" fillId="13" borderId="0" xfId="0" applyFont="1" applyFill="1"/>
    <xf numFmtId="0" fontId="3" fillId="20" borderId="0" xfId="0" applyFont="1" applyFill="1"/>
    <xf numFmtId="0" fontId="0" fillId="20" borderId="0" xfId="0" applyFill="1"/>
    <xf numFmtId="0" fontId="35" fillId="20" borderId="0" xfId="0" applyFont="1" applyFill="1"/>
    <xf numFmtId="0" fontId="3" fillId="18" borderId="0" xfId="0" applyFont="1" applyFill="1"/>
    <xf numFmtId="0" fontId="35" fillId="18" borderId="0" xfId="0" applyFont="1" applyFill="1"/>
    <xf numFmtId="0" fontId="3" fillId="5" borderId="0" xfId="0" applyFont="1" applyFill="1"/>
    <xf numFmtId="0" fontId="0" fillId="5" borderId="0" xfId="0" applyFill="1"/>
    <xf numFmtId="0" fontId="35" fillId="5" borderId="0" xfId="0" applyFont="1" applyFill="1"/>
    <xf numFmtId="0" fontId="17" fillId="19" borderId="0" xfId="0" applyFont="1" applyFill="1" applyAlignment="1">
      <alignment horizontal="center"/>
    </xf>
    <xf numFmtId="164" fontId="0" fillId="0" borderId="0" xfId="1" applyNumberFormat="1" applyFont="1" applyAlignment="1">
      <alignment horizontal="left"/>
    </xf>
    <xf numFmtId="164" fontId="5" fillId="6" borderId="3" xfId="1" applyNumberFormat="1" applyFont="1" applyFill="1" applyBorder="1"/>
    <xf numFmtId="164" fontId="0" fillId="0" borderId="0" xfId="1" applyNumberFormat="1" applyFont="1" applyAlignment="1">
      <alignment horizontal="left" vertical="center"/>
    </xf>
    <xf numFmtId="0" fontId="6" fillId="0" borderId="0" xfId="0" applyFont="1" applyAlignment="1">
      <alignment horizontal="left"/>
    </xf>
    <xf numFmtId="9" fontId="0" fillId="0" borderId="0" xfId="0" applyNumberFormat="1"/>
    <xf numFmtId="10" fontId="0" fillId="0" borderId="0" xfId="0" applyNumberFormat="1"/>
    <xf numFmtId="0" fontId="10" fillId="0" borderId="0" xfId="0" applyFont="1"/>
    <xf numFmtId="10" fontId="0" fillId="0" borderId="0" xfId="10" applyNumberFormat="1" applyFont="1" applyFill="1"/>
    <xf numFmtId="43" fontId="0" fillId="12" borderId="0" xfId="1" applyFont="1" applyFill="1"/>
    <xf numFmtId="43" fontId="0" fillId="0" borderId="0" xfId="1" applyFont="1"/>
    <xf numFmtId="43" fontId="0" fillId="13" borderId="0" xfId="1" applyFont="1" applyFill="1"/>
    <xf numFmtId="43" fontId="0" fillId="20" borderId="0" xfId="1" applyFont="1" applyFill="1"/>
    <xf numFmtId="43" fontId="0" fillId="18" borderId="0" xfId="1" applyFont="1" applyFill="1"/>
    <xf numFmtId="43" fontId="0" fillId="5" borderId="0" xfId="1" applyFont="1" applyFill="1"/>
    <xf numFmtId="43" fontId="1" fillId="20" borderId="0" xfId="1" applyFont="1" applyFill="1"/>
    <xf numFmtId="43" fontId="1" fillId="13" borderId="0" xfId="1" applyFont="1" applyFill="1"/>
    <xf numFmtId="43" fontId="1" fillId="12" borderId="0" xfId="1" applyFont="1" applyFill="1"/>
    <xf numFmtId="10" fontId="1" fillId="0" borderId="0" xfId="10" applyNumberFormat="1" applyFont="1" applyFill="1"/>
    <xf numFmtId="43" fontId="0" fillId="0" borderId="0" xfId="0" applyNumberFormat="1"/>
    <xf numFmtId="0" fontId="10" fillId="0" borderId="12" xfId="0" quotePrefix="1" applyFont="1" applyBorder="1" applyAlignment="1">
      <alignment horizontal="left" vertical="center" wrapText="1"/>
    </xf>
    <xf numFmtId="0" fontId="37" fillId="19" borderId="0" xfId="0" applyFont="1" applyFill="1"/>
    <xf numFmtId="0" fontId="38" fillId="0" borderId="0" xfId="0" applyFont="1"/>
    <xf numFmtId="43" fontId="37" fillId="19" borderId="16" xfId="1" applyFont="1" applyFill="1" applyBorder="1"/>
    <xf numFmtId="43" fontId="37" fillId="19" borderId="18" xfId="1" applyFont="1" applyFill="1" applyBorder="1"/>
    <xf numFmtId="43" fontId="37" fillId="19" borderId="17" xfId="1" applyFont="1" applyFill="1" applyBorder="1"/>
    <xf numFmtId="43" fontId="1" fillId="18" borderId="0" xfId="1" applyFont="1" applyFill="1"/>
    <xf numFmtId="43" fontId="1" fillId="5" borderId="0" xfId="1" applyFont="1" applyFill="1"/>
    <xf numFmtId="43" fontId="0" fillId="0" borderId="12" xfId="1" applyFont="1" applyBorder="1"/>
    <xf numFmtId="43" fontId="0" fillId="0" borderId="12" xfId="0" applyNumberFormat="1" applyBorder="1"/>
    <xf numFmtId="0" fontId="0" fillId="0" borderId="12" xfId="0" quotePrefix="1" applyBorder="1"/>
    <xf numFmtId="43" fontId="10" fillId="0" borderId="12" xfId="1" applyFont="1" applyFill="1" applyBorder="1" applyAlignment="1">
      <alignment horizontal="center" wrapText="1"/>
    </xf>
    <xf numFmtId="4" fontId="10" fillId="0" borderId="0" xfId="0" applyNumberFormat="1" applyFont="1"/>
    <xf numFmtId="0" fontId="3" fillId="0" borderId="12" xfId="0" applyFont="1" applyBorder="1" applyAlignment="1">
      <alignment horizontal="center"/>
    </xf>
    <xf numFmtId="0" fontId="3" fillId="0" borderId="12" xfId="0" applyFont="1" applyBorder="1" applyAlignment="1">
      <alignment horizontal="center" vertical="center"/>
    </xf>
    <xf numFmtId="0" fontId="3" fillId="0" borderId="13" xfId="0" applyFont="1" applyBorder="1" applyAlignment="1">
      <alignment horizontal="center"/>
    </xf>
    <xf numFmtId="0" fontId="3" fillId="0" borderId="14" xfId="0" applyFont="1" applyBorder="1" applyAlignment="1">
      <alignment horizontal="center"/>
    </xf>
    <xf numFmtId="0" fontId="0" fillId="0" borderId="0" xfId="1" applyNumberFormat="1" applyFont="1" applyFill="1" applyAlignment="1">
      <alignment wrapText="1"/>
    </xf>
    <xf numFmtId="0" fontId="15" fillId="0" borderId="0" xfId="0" applyFont="1" applyAlignment="1">
      <alignment horizontal="left" vertical="center"/>
    </xf>
    <xf numFmtId="0" fontId="6" fillId="0" borderId="0" xfId="0" applyFont="1" applyAlignment="1">
      <alignment horizontal="left" vertical="center" wrapText="1"/>
    </xf>
    <xf numFmtId="43" fontId="40" fillId="19" borderId="0" xfId="0" applyNumberFormat="1" applyFont="1" applyFill="1"/>
    <xf numFmtId="0" fontId="1" fillId="20" borderId="1" xfId="0" applyFont="1" applyFill="1" applyBorder="1" applyAlignment="1">
      <alignment horizontal="center"/>
    </xf>
    <xf numFmtId="0" fontId="1" fillId="20" borderId="3" xfId="0" applyFont="1" applyFill="1" applyBorder="1" applyAlignment="1">
      <alignment horizontal="center"/>
    </xf>
    <xf numFmtId="9" fontId="0" fillId="0" borderId="0" xfId="10" applyFont="1" applyFill="1" applyAlignment="1">
      <alignment vertical="center"/>
    </xf>
    <xf numFmtId="0" fontId="6" fillId="0" borderId="0" xfId="0" applyFont="1" applyAlignment="1">
      <alignment wrapText="1"/>
    </xf>
    <xf numFmtId="0" fontId="15" fillId="0" borderId="0" xfId="0" applyFont="1" applyAlignment="1">
      <alignment vertical="center"/>
    </xf>
    <xf numFmtId="0" fontId="10" fillId="0" borderId="0" xfId="0" applyFont="1" applyAlignment="1">
      <alignment horizontal="left" vertical="center"/>
    </xf>
    <xf numFmtId="166" fontId="10" fillId="0" borderId="0" xfId="10" applyNumberFormat="1" applyFont="1" applyFill="1" applyAlignment="1">
      <alignment vertical="center"/>
    </xf>
    <xf numFmtId="43" fontId="0" fillId="0" borderId="0" xfId="1" applyFont="1" applyFill="1" applyAlignment="1">
      <alignment wrapText="1"/>
    </xf>
    <xf numFmtId="0" fontId="6" fillId="0" borderId="0" xfId="0" applyFont="1" applyAlignment="1">
      <alignment horizontal="left" wrapText="1"/>
    </xf>
    <xf numFmtId="0" fontId="0" fillId="0" borderId="0" xfId="0" applyAlignment="1">
      <alignment vertical="center"/>
    </xf>
    <xf numFmtId="43" fontId="0" fillId="0" borderId="0" xfId="1" applyFont="1" applyFill="1" applyAlignment="1">
      <alignment vertical="center" wrapText="1"/>
    </xf>
    <xf numFmtId="0" fontId="41" fillId="18" borderId="0" xfId="0" applyFont="1" applyFill="1"/>
    <xf numFmtId="43" fontId="6" fillId="18" borderId="0" xfId="1" applyFont="1" applyFill="1"/>
    <xf numFmtId="0" fontId="32" fillId="19" borderId="0" xfId="0" applyFont="1" applyFill="1" applyAlignment="1">
      <alignment horizontal="center"/>
    </xf>
    <xf numFmtId="0" fontId="40" fillId="19" borderId="0" xfId="0" applyFont="1" applyFill="1" applyAlignment="1">
      <alignment horizontal="center"/>
    </xf>
    <xf numFmtId="172" fontId="32" fillId="0" borderId="0" xfId="0" applyNumberFormat="1" applyFont="1"/>
    <xf numFmtId="172" fontId="0" fillId="0" borderId="0" xfId="0" applyNumberFormat="1" applyAlignment="1">
      <alignment horizontal="center"/>
    </xf>
    <xf numFmtId="9" fontId="0" fillId="0" borderId="12" xfId="0" applyNumberFormat="1" applyBorder="1" applyAlignment="1">
      <alignment horizontal="center"/>
    </xf>
    <xf numFmtId="0" fontId="0" fillId="0" borderId="12" xfId="0" applyBorder="1" applyAlignment="1">
      <alignment horizontal="left"/>
    </xf>
    <xf numFmtId="9" fontId="0" fillId="0" borderId="21" xfId="0" applyNumberFormat="1" applyBorder="1" applyAlignment="1">
      <alignment horizontal="center"/>
    </xf>
    <xf numFmtId="0" fontId="0" fillId="0" borderId="21" xfId="0" applyBorder="1" applyAlignment="1">
      <alignment horizontal="left"/>
    </xf>
    <xf numFmtId="0" fontId="1" fillId="0" borderId="22" xfId="0" applyFont="1"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xf numFmtId="164" fontId="0" fillId="0" borderId="12" xfId="0" applyNumberFormat="1" applyBorder="1"/>
    <xf numFmtId="0" fontId="0" fillId="0" borderId="19" xfId="0" applyBorder="1"/>
    <xf numFmtId="0" fontId="8" fillId="0" borderId="19" xfId="0" applyFont="1" applyBorder="1" applyAlignment="1">
      <alignment horizontal="center" vertical="center"/>
    </xf>
    <xf numFmtId="43" fontId="0" fillId="0" borderId="19" xfId="0" applyNumberFormat="1" applyBorder="1"/>
    <xf numFmtId="0" fontId="0" fillId="0" borderId="20" xfId="0" applyBorder="1" applyAlignment="1">
      <alignment horizontal="center" vertical="center"/>
    </xf>
    <xf numFmtId="0" fontId="40" fillId="19" borderId="0" xfId="0" applyFont="1" applyFill="1" applyAlignment="1">
      <alignment horizontal="left"/>
    </xf>
    <xf numFmtId="0" fontId="42" fillId="0" borderId="0" xfId="0" applyFont="1"/>
    <xf numFmtId="0" fontId="33" fillId="19" borderId="0" xfId="0" applyFont="1" applyFill="1" applyAlignment="1">
      <alignment horizontal="center"/>
    </xf>
    <xf numFmtId="0" fontId="19" fillId="0" borderId="9" xfId="0" applyFont="1" applyBorder="1" applyAlignment="1">
      <alignment vertical="center" wrapText="1"/>
    </xf>
    <xf numFmtId="0" fontId="19" fillId="0" borderId="18" xfId="0" applyFont="1" applyBorder="1" applyAlignment="1">
      <alignment horizontal="left" vertical="center" wrapText="1" indent="1"/>
    </xf>
    <xf numFmtId="0" fontId="19" fillId="0" borderId="3" xfId="0" applyFont="1" applyBorder="1" applyAlignment="1">
      <alignment vertical="center" wrapText="1"/>
    </xf>
    <xf numFmtId="0" fontId="19" fillId="0" borderId="25" xfId="0" applyFont="1" applyBorder="1" applyAlignment="1">
      <alignment vertical="center" wrapText="1"/>
    </xf>
    <xf numFmtId="0" fontId="8" fillId="0" borderId="26" xfId="0" applyFont="1" applyBorder="1" applyAlignment="1">
      <alignment horizontal="center" vertical="center"/>
    </xf>
    <xf numFmtId="0" fontId="0" fillId="0" borderId="27" xfId="0" applyBorder="1"/>
    <xf numFmtId="43" fontId="0" fillId="0" borderId="27" xfId="1" applyFont="1" applyBorder="1"/>
    <xf numFmtId="172" fontId="0" fillId="0" borderId="0" xfId="1" applyNumberFormat="1" applyFont="1"/>
    <xf numFmtId="0" fontId="32" fillId="0" borderId="0" xfId="0" applyFont="1"/>
    <xf numFmtId="43" fontId="10" fillId="0" borderId="0" xfId="1" applyFont="1" applyFill="1" applyAlignment="1">
      <alignment vertical="center"/>
    </xf>
    <xf numFmtId="0" fontId="13" fillId="0" borderId="0" xfId="2" applyAlignment="1"/>
    <xf numFmtId="0" fontId="0" fillId="0" borderId="12" xfId="0" applyBorder="1" applyAlignment="1">
      <alignment horizontal="center" vertical="center"/>
    </xf>
    <xf numFmtId="0" fontId="0" fillId="0" borderId="14" xfId="0" applyBorder="1"/>
    <xf numFmtId="164" fontId="0" fillId="0" borderId="19" xfId="0" applyNumberFormat="1" applyBorder="1"/>
    <xf numFmtId="0" fontId="9" fillId="0" borderId="28" xfId="0" applyFont="1" applyBorder="1" applyAlignment="1">
      <alignment horizontal="left" vertical="center"/>
    </xf>
    <xf numFmtId="0" fontId="5" fillId="0" borderId="29" xfId="0" applyFont="1" applyBorder="1"/>
    <xf numFmtId="0" fontId="32" fillId="0" borderId="29" xfId="0" applyFont="1" applyBorder="1"/>
    <xf numFmtId="0" fontId="5" fillId="0" borderId="29" xfId="0" applyFont="1" applyBorder="1" applyAlignment="1">
      <alignment horizontal="center" vertical="center"/>
    </xf>
    <xf numFmtId="0" fontId="5" fillId="0" borderId="30" xfId="0" applyFont="1" applyBorder="1"/>
    <xf numFmtId="0" fontId="5" fillId="18" borderId="0" xfId="0" applyFont="1" applyFill="1"/>
    <xf numFmtId="43" fontId="5" fillId="18" borderId="0" xfId="1" applyFont="1" applyFill="1"/>
    <xf numFmtId="43" fontId="4" fillId="18" borderId="0" xfId="1" applyFont="1" applyFill="1"/>
    <xf numFmtId="0" fontId="44" fillId="18" borderId="0" xfId="0" applyFont="1" applyFill="1"/>
    <xf numFmtId="0" fontId="10" fillId="0" borderId="12" xfId="0" applyFont="1" applyBorder="1" applyAlignment="1">
      <alignment horizontal="left" vertical="center"/>
    </xf>
    <xf numFmtId="9" fontId="0" fillId="0" borderId="0" xfId="0" applyNumberFormat="1" applyAlignment="1">
      <alignment horizontal="center"/>
    </xf>
    <xf numFmtId="9" fontId="0" fillId="0" borderId="0" xfId="10" applyFont="1"/>
    <xf numFmtId="9" fontId="0" fillId="0" borderId="0" xfId="10" applyFont="1" applyFill="1"/>
    <xf numFmtId="2" fontId="0" fillId="18" borderId="0" xfId="0" applyNumberFormat="1" applyFill="1"/>
    <xf numFmtId="0" fontId="1" fillId="0" borderId="0" xfId="0" applyFont="1" applyAlignment="1">
      <alignment horizontal="center"/>
    </xf>
    <xf numFmtId="0" fontId="45" fillId="0" borderId="9" xfId="0" applyFont="1" applyBorder="1" applyAlignment="1">
      <alignment vertical="center" wrapText="1"/>
    </xf>
    <xf numFmtId="0" fontId="8" fillId="5" borderId="12" xfId="0" applyFont="1" applyFill="1" applyBorder="1" applyAlignment="1">
      <alignment horizontal="center" vertical="center"/>
    </xf>
    <xf numFmtId="0" fontId="1" fillId="0" borderId="12" xfId="0" applyFont="1" applyBorder="1"/>
    <xf numFmtId="0" fontId="1" fillId="0" borderId="12" xfId="0" applyFont="1" applyBorder="1" applyAlignment="1">
      <alignment wrapText="1"/>
    </xf>
    <xf numFmtId="0" fontId="46" fillId="0" borderId="0" xfId="0" applyFont="1"/>
    <xf numFmtId="0" fontId="47" fillId="0" borderId="32" xfId="0" applyFont="1" applyBorder="1"/>
    <xf numFmtId="43" fontId="47" fillId="0" borderId="31" xfId="0" applyNumberFormat="1" applyFont="1" applyBorder="1"/>
    <xf numFmtId="43" fontId="47" fillId="0" borderId="12" xfId="1" applyFont="1" applyBorder="1"/>
    <xf numFmtId="0" fontId="13" fillId="0" borderId="12" xfId="2" applyFill="1" applyBorder="1"/>
    <xf numFmtId="0" fontId="13" fillId="0" borderId="12" xfId="2" applyFill="1" applyBorder="1" applyAlignment="1">
      <alignment horizontal="center" vertical="center" wrapText="1"/>
    </xf>
    <xf numFmtId="0" fontId="13" fillId="0" borderId="0" xfId="2" applyFill="1" applyBorder="1" applyAlignment="1">
      <alignment horizontal="center" vertical="center"/>
    </xf>
    <xf numFmtId="174" fontId="0" fillId="0" borderId="12" xfId="11" applyNumberFormat="1" applyFont="1" applyBorder="1"/>
    <xf numFmtId="0" fontId="0" fillId="0" borderId="12" xfId="0" applyBorder="1" applyAlignment="1">
      <alignment vertical="center" wrapText="1"/>
    </xf>
    <xf numFmtId="10" fontId="0" fillId="0" borderId="12" xfId="0" applyNumberFormat="1"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wrapText="1"/>
    </xf>
    <xf numFmtId="43" fontId="0" fillId="0" borderId="12" xfId="1" applyFont="1" applyFill="1" applyBorder="1" applyAlignment="1">
      <alignment wrapText="1"/>
    </xf>
    <xf numFmtId="0" fontId="13" fillId="0" borderId="12" xfId="2" applyFill="1" applyBorder="1" applyAlignment="1">
      <alignment horizontal="center" wrapText="1"/>
    </xf>
    <xf numFmtId="0" fontId="10" fillId="0" borderId="12" xfId="8" applyFont="1" applyBorder="1" applyAlignment="1">
      <alignment wrapText="1"/>
    </xf>
    <xf numFmtId="0" fontId="2" fillId="0" borderId="12" xfId="0" applyFont="1" applyBorder="1" applyAlignment="1">
      <alignment horizontal="center" wrapText="1"/>
    </xf>
    <xf numFmtId="164" fontId="0" fillId="0" borderId="12" xfId="1" applyNumberFormat="1" applyFont="1" applyFill="1" applyBorder="1" applyAlignment="1"/>
    <xf numFmtId="0" fontId="10" fillId="0" borderId="12" xfId="0" applyFont="1" applyBorder="1" applyAlignment="1">
      <alignment horizontal="left" wrapText="1"/>
    </xf>
    <xf numFmtId="0" fontId="10" fillId="0" borderId="12" xfId="0" applyFont="1" applyBorder="1" applyAlignment="1">
      <alignment horizontal="center" wrapText="1"/>
    </xf>
    <xf numFmtId="0" fontId="43" fillId="0" borderId="12" xfId="0" applyFont="1" applyBorder="1" applyAlignment="1">
      <alignment horizontal="left" wrapText="1"/>
    </xf>
    <xf numFmtId="0" fontId="43" fillId="0" borderId="12" xfId="0" applyFont="1" applyBorder="1" applyAlignment="1">
      <alignment horizontal="center" wrapText="1"/>
    </xf>
    <xf numFmtId="43" fontId="43" fillId="0" borderId="12" xfId="1" applyFont="1" applyFill="1" applyBorder="1" applyAlignment="1">
      <alignment horizontal="center" wrapText="1"/>
    </xf>
    <xf numFmtId="43" fontId="0" fillId="0" borderId="12" xfId="1" applyFont="1" applyFill="1" applyBorder="1" applyAlignment="1"/>
    <xf numFmtId="0" fontId="0" fillId="0" borderId="12" xfId="0" applyBorder="1" applyAlignment="1">
      <alignment horizontal="center"/>
    </xf>
    <xf numFmtId="0" fontId="12" fillId="0" borderId="12" xfId="0" applyFont="1" applyBorder="1" applyAlignment="1">
      <alignment horizontal="center" wrapText="1"/>
    </xf>
    <xf numFmtId="0" fontId="10" fillId="0" borderId="12" xfId="0" quotePrefix="1" applyFont="1" applyBorder="1" applyAlignment="1">
      <alignment horizontal="center" wrapText="1"/>
    </xf>
    <xf numFmtId="0" fontId="12" fillId="0" borderId="12"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2" xfId="0" applyFont="1" applyBorder="1" applyAlignment="1">
      <alignment vertical="center" wrapText="1"/>
    </xf>
    <xf numFmtId="0" fontId="18" fillId="0" borderId="12" xfId="0" applyFont="1" applyBorder="1" applyAlignment="1">
      <alignment horizontal="left" vertical="center" wrapText="1"/>
    </xf>
    <xf numFmtId="6" fontId="0" fillId="0" borderId="12" xfId="0" applyNumberFormat="1" applyBorder="1"/>
    <xf numFmtId="0" fontId="10" fillId="0" borderId="0" xfId="0" applyFont="1" applyAlignment="1">
      <alignment horizontal="center" vertical="center" wrapText="1"/>
    </xf>
    <xf numFmtId="6" fontId="0" fillId="0" borderId="0" xfId="0" applyNumberFormat="1"/>
    <xf numFmtId="0" fontId="12" fillId="0" borderId="0" xfId="0" applyFont="1" applyAlignment="1">
      <alignment horizontal="center" vertical="center" wrapText="1"/>
    </xf>
    <xf numFmtId="0" fontId="18" fillId="0" borderId="0" xfId="0" applyFont="1" applyAlignment="1">
      <alignment horizontal="left" vertical="center" wrapText="1"/>
    </xf>
    <xf numFmtId="0" fontId="20" fillId="0" borderId="0" xfId="0" applyFont="1" applyAlignment="1">
      <alignment horizontal="left" wrapText="1"/>
    </xf>
    <xf numFmtId="0" fontId="30" fillId="0" borderId="0" xfId="8" applyFont="1" applyAlignment="1">
      <alignment vertical="center" wrapText="1"/>
    </xf>
    <xf numFmtId="0" fontId="36" fillId="0" borderId="12" xfId="0" applyFont="1" applyBorder="1" applyAlignment="1">
      <alignment vertical="center" wrapText="1"/>
    </xf>
    <xf numFmtId="0" fontId="36" fillId="0" borderId="12" xfId="0" applyFont="1" applyBorder="1" applyAlignment="1">
      <alignment horizontal="center" vertical="center" wrapText="1"/>
    </xf>
    <xf numFmtId="43" fontId="36" fillId="0" borderId="12" xfId="1" applyFont="1" applyFill="1" applyBorder="1" applyAlignment="1">
      <alignment horizontal="center" vertical="center" wrapText="1"/>
    </xf>
    <xf numFmtId="0" fontId="13" fillId="0" borderId="0" xfId="2" applyFill="1" applyAlignment="1">
      <alignment vertical="center"/>
    </xf>
    <xf numFmtId="0" fontId="30" fillId="0" borderId="12" xfId="0" applyFont="1" applyBorder="1" applyAlignment="1">
      <alignment vertical="center" wrapText="1"/>
    </xf>
    <xf numFmtId="43" fontId="0" fillId="0" borderId="0" xfId="1" applyFont="1" applyFill="1" applyAlignment="1"/>
    <xf numFmtId="43" fontId="0" fillId="0" borderId="12" xfId="0" applyNumberFormat="1" applyBorder="1" applyAlignment="1">
      <alignment horizontal="center" wrapText="1"/>
    </xf>
    <xf numFmtId="49" fontId="0" fillId="0" borderId="12" xfId="1" applyNumberFormat="1" applyFont="1" applyFill="1" applyBorder="1" applyAlignment="1">
      <alignment horizontal="center" wrapText="1"/>
    </xf>
    <xf numFmtId="0" fontId="10" fillId="0" borderId="12" xfId="0" applyFont="1" applyBorder="1" applyAlignment="1">
      <alignment wrapText="1"/>
    </xf>
    <xf numFmtId="43" fontId="0" fillId="0" borderId="12" xfId="1" applyFont="1" applyFill="1" applyBorder="1" applyAlignment="1">
      <alignment horizontal="left"/>
    </xf>
    <xf numFmtId="43" fontId="0" fillId="0" borderId="12" xfId="1" applyFont="1" applyFill="1" applyBorder="1" applyAlignment="1">
      <alignment horizontal="center" wrapText="1"/>
    </xf>
    <xf numFmtId="49" fontId="0" fillId="0" borderId="12" xfId="0" applyNumberFormat="1" applyBorder="1" applyAlignment="1">
      <alignment horizontal="center" wrapText="1"/>
    </xf>
    <xf numFmtId="0" fontId="0" fillId="0" borderId="0" xfId="0" applyAlignment="1">
      <alignment horizontal="center" wrapText="1"/>
    </xf>
    <xf numFmtId="43" fontId="0" fillId="0" borderId="12" xfId="1" applyFont="1" applyFill="1" applyBorder="1"/>
    <xf numFmtId="0" fontId="13" fillId="0" borderId="0" xfId="2" applyFill="1"/>
    <xf numFmtId="173" fontId="0" fillId="0" borderId="12" xfId="0" applyNumberFormat="1" applyBorder="1"/>
    <xf numFmtId="165" fontId="0" fillId="0" borderId="0" xfId="0" applyNumberFormat="1"/>
    <xf numFmtId="44" fontId="0" fillId="0" borderId="12" xfId="0" applyNumberFormat="1" applyBorder="1"/>
    <xf numFmtId="0" fontId="22" fillId="0" borderId="12" xfId="0" applyFont="1" applyBorder="1"/>
    <xf numFmtId="164" fontId="0" fillId="0" borderId="0" xfId="1" applyNumberFormat="1" applyFont="1" applyFill="1"/>
    <xf numFmtId="0" fontId="12" fillId="0" borderId="0" xfId="0" applyFont="1" applyAlignment="1">
      <alignment horizontal="left" vertical="center"/>
    </xf>
    <xf numFmtId="43" fontId="12" fillId="0" borderId="0" xfId="1" applyFont="1" applyFill="1" applyAlignment="1">
      <alignment vertical="center"/>
    </xf>
    <xf numFmtId="0" fontId="48" fillId="0" borderId="0" xfId="0" applyFont="1" applyAlignment="1">
      <alignment vertical="center"/>
    </xf>
    <xf numFmtId="0" fontId="5" fillId="0" borderId="0" xfId="0" applyFont="1" applyAlignment="1">
      <alignment horizontal="center" vertical="center"/>
    </xf>
    <xf numFmtId="43" fontId="0" fillId="0" borderId="0" xfId="1" applyFont="1" applyFill="1" applyAlignment="1">
      <alignment vertical="center"/>
    </xf>
    <xf numFmtId="9" fontId="0" fillId="0" borderId="0" xfId="0" applyNumberFormat="1" applyAlignment="1">
      <alignment vertical="center"/>
    </xf>
    <xf numFmtId="9" fontId="0" fillId="0" borderId="0" xfId="0" applyNumberFormat="1" applyAlignment="1">
      <alignment horizontal="right" vertical="center"/>
    </xf>
    <xf numFmtId="164" fontId="5" fillId="0" borderId="12" xfId="1" applyNumberFormat="1" applyFont="1" applyFill="1" applyBorder="1"/>
    <xf numFmtId="164" fontId="29" fillId="0" borderId="12" xfId="0" applyNumberFormat="1" applyFont="1" applyBorder="1"/>
    <xf numFmtId="43" fontId="10" fillId="0" borderId="12" xfId="0" applyNumberFormat="1" applyFont="1" applyBorder="1" applyAlignment="1">
      <alignment wrapText="1"/>
    </xf>
    <xf numFmtId="10" fontId="0" fillId="0" borderId="12" xfId="0" applyNumberFormat="1" applyBorder="1"/>
    <xf numFmtId="0" fontId="0" fillId="0" borderId="0" xfId="0" applyAlignment="1">
      <alignment horizontal="right" vertical="center" wrapText="1"/>
    </xf>
    <xf numFmtId="0" fontId="28" fillId="0" borderId="0" xfId="8" applyFont="1" applyAlignment="1">
      <alignment horizontal="left" vertical="center" wrapText="1"/>
    </xf>
  </cellXfs>
  <cellStyles count="12">
    <cellStyle name="Bad 2" xfId="6" xr:uid="{708F9D07-CCDD-554A-A90B-3CDB60BF056F}"/>
    <cellStyle name="Comma" xfId="1" builtinId="3"/>
    <cellStyle name="Comma 2" xfId="5" xr:uid="{174A54F7-F70C-DC44-86B4-AFF249640F7A}"/>
    <cellStyle name="Currency" xfId="11" builtinId="4"/>
    <cellStyle name="Currency 2" xfId="7" xr:uid="{D84FA8D5-566F-B24B-B83C-16C662F127A8}"/>
    <cellStyle name="Good 2" xfId="3" xr:uid="{8BAD7FD1-8F0A-4D4D-8F6F-9DEC8FBD0806}"/>
    <cellStyle name="Hyperlink" xfId="2" builtinId="8"/>
    <cellStyle name="Hyperlink 2" xfId="9" xr:uid="{A39C43A2-75B4-2D45-A37B-027A25EFC593}"/>
    <cellStyle name="Normal" xfId="0" builtinId="0"/>
    <cellStyle name="Normal 2" xfId="8" xr:uid="{E04F58FC-2834-8D40-A96F-9A1B3FC0C9F1}"/>
    <cellStyle name="Per cent 2" xfId="4" xr:uid="{51EA3341-D1C5-364C-A6C2-9390E6EA7B38}"/>
    <cellStyle name="Percent" xfId="10" builtinId="5"/>
  </cellStyles>
  <dxfs count="24">
    <dxf>
      <fill>
        <patternFill>
          <bgColor theme="9" tint="0.79998168889431442"/>
        </patternFill>
      </fill>
    </dxf>
    <dxf>
      <fill>
        <patternFill>
          <bgColor theme="7" tint="0.79998168889431442"/>
        </patternFill>
      </fill>
    </dxf>
    <dxf>
      <fill>
        <patternFill>
          <bgColor theme="7" tint="0.79998168889431442"/>
        </patternFill>
      </fill>
    </dxf>
    <dxf>
      <fill>
        <patternFill patternType="solid">
          <bgColor theme="3" tint="0.79998168889431442"/>
        </patternFill>
      </fill>
      <border>
        <left style="thin">
          <color theme="0" tint="-0.249977111117893"/>
        </left>
        <right style="thin">
          <color theme="0" tint="-0.249977111117893"/>
        </right>
        <top style="thin">
          <color theme="0" tint="-0.249977111117893"/>
        </top>
        <bottom style="thin">
          <color theme="0" tint="-0.249977111117893"/>
        </bottom>
      </border>
    </dxf>
    <dxf>
      <font>
        <b/>
        <i val="0"/>
      </font>
      <fill>
        <patternFill>
          <bgColor theme="7" tint="0.79998168889431442"/>
        </patternFill>
      </fill>
    </dxf>
    <dxf>
      <font>
        <b/>
        <i val="0"/>
      </font>
      <fill>
        <patternFill>
          <bgColor theme="7" tint="0.79998168889431442"/>
        </patternFill>
      </fill>
    </dxf>
    <dxf>
      <font>
        <b/>
        <i val="0"/>
      </font>
      <fill>
        <patternFill>
          <bgColor theme="7" tint="0.79998168889431442"/>
        </patternFill>
      </fill>
    </dxf>
    <dxf>
      <fill>
        <patternFill>
          <bgColor theme="9"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7" tint="0.79998168889431442"/>
        </patternFill>
      </fill>
    </dxf>
    <dxf>
      <fill>
        <patternFill>
          <bgColor theme="8" tint="0.59996337778862885"/>
        </patternFill>
      </fill>
    </dxf>
    <dxf>
      <fill>
        <patternFill>
          <bgColor theme="5" tint="0.79998168889431442"/>
        </patternFill>
      </fill>
    </dxf>
    <dxf>
      <fill>
        <patternFill>
          <bgColor rgb="FFCC99FF"/>
        </patternFill>
      </fill>
    </dxf>
    <dxf>
      <fill>
        <patternFill>
          <bgColor theme="9" tint="0.79998168889431442"/>
        </patternFill>
      </fill>
    </dxf>
    <dxf>
      <fill>
        <patternFill>
          <bgColor rgb="FFFFFF99"/>
        </patternFill>
      </fill>
    </dxf>
    <dxf>
      <fill>
        <patternFill>
          <bgColor theme="8" tint="0.59996337778862885"/>
        </patternFill>
      </fill>
    </dxf>
    <dxf>
      <fill>
        <patternFill>
          <bgColor theme="5" tint="0.79998168889431442"/>
        </patternFill>
      </fill>
    </dxf>
    <dxf>
      <fill>
        <patternFill>
          <bgColor rgb="FFCC99FF"/>
        </patternFill>
      </fill>
    </dxf>
    <dxf>
      <fill>
        <patternFill>
          <bgColor theme="9" tint="0.79998168889431442"/>
        </patternFill>
      </fill>
    </dxf>
    <dxf>
      <fill>
        <patternFill>
          <bgColor rgb="FFFFFF99"/>
        </patternFill>
      </fill>
    </dxf>
    <dxf>
      <fill>
        <patternFill>
          <bgColor theme="5" tint="0.39994506668294322"/>
        </patternFill>
      </fill>
    </dxf>
  </dxfs>
  <tableStyles count="0" defaultTableStyle="TableStyleMedium2" defaultPivotStyle="PivotStyleLight16"/>
  <colors>
    <mruColors>
      <color rgb="FFDBC9FF"/>
      <color rgb="FF9966FF"/>
      <color rgb="FFFFFF99"/>
      <color rgb="FFCC99FF"/>
      <color rgb="FF0000FF"/>
      <color rgb="FFFF7C80"/>
      <color rgb="FFFFC5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SROI Sensitivity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Sensitivity!$E$5:$E$11</c:f>
              <c:strCache>
                <c:ptCount val="7"/>
                <c:pt idx="0">
                  <c:v>Cost of Capital</c:v>
                </c:pt>
                <c:pt idx="1">
                  <c:v>Public Space Participation</c:v>
                </c:pt>
                <c:pt idx="2">
                  <c:v>Greenery Participation</c:v>
                </c:pt>
                <c:pt idx="3">
                  <c:v>Monorail Maintenance</c:v>
                </c:pt>
                <c:pt idx="4">
                  <c:v>Solar PV Investment</c:v>
                </c:pt>
                <c:pt idx="5">
                  <c:v>Public Space Investment</c:v>
                </c:pt>
                <c:pt idx="6">
                  <c:v>Greenery Investment</c:v>
                </c:pt>
              </c:strCache>
            </c:strRef>
          </c:cat>
          <c:val>
            <c:numRef>
              <c:f>Sensitivity!$F$5:$F$11</c:f>
              <c:numCache>
                <c:formatCode>0.00</c:formatCode>
                <c:ptCount val="7"/>
                <c:pt idx="0">
                  <c:v>1.723236997307066</c:v>
                </c:pt>
                <c:pt idx="1">
                  <c:v>2.5122389136068741</c:v>
                </c:pt>
                <c:pt idx="2">
                  <c:v>2.5438842196445823</c:v>
                </c:pt>
                <c:pt idx="3">
                  <c:v>2.3044923449823078</c:v>
                </c:pt>
                <c:pt idx="4">
                  <c:v>2.3941584333872892</c:v>
                </c:pt>
                <c:pt idx="5">
                  <c:v>2.6124446062403557</c:v>
                </c:pt>
                <c:pt idx="6">
                  <c:v>2.6311887218188774</c:v>
                </c:pt>
              </c:numCache>
            </c:numRef>
          </c:val>
          <c:extLst>
            <c:ext xmlns:c16="http://schemas.microsoft.com/office/drawing/2014/chart" uri="{C3380CC4-5D6E-409C-BE32-E72D297353CC}">
              <c16:uniqueId val="{00000000-1A20-41A0-94FA-F69B125A0631}"/>
            </c:ext>
          </c:extLst>
        </c:ser>
        <c:ser>
          <c:idx val="1"/>
          <c:order val="1"/>
          <c:spPr>
            <a:solidFill>
              <a:srgbClr val="00B050"/>
            </a:solidFill>
            <a:ln>
              <a:solidFill>
                <a:srgbClr val="00B050"/>
              </a:solidFill>
            </a:ln>
            <a:effectLst/>
          </c:spPr>
          <c:invertIfNegative val="0"/>
          <c:cat>
            <c:strRef>
              <c:f>Sensitivity!$E$5:$E$11</c:f>
              <c:strCache>
                <c:ptCount val="7"/>
                <c:pt idx="0">
                  <c:v>Cost of Capital</c:v>
                </c:pt>
                <c:pt idx="1">
                  <c:v>Public Space Participation</c:v>
                </c:pt>
                <c:pt idx="2">
                  <c:v>Greenery Participation</c:v>
                </c:pt>
                <c:pt idx="3">
                  <c:v>Monorail Maintenance</c:v>
                </c:pt>
                <c:pt idx="4">
                  <c:v>Solar PV Investment</c:v>
                </c:pt>
                <c:pt idx="5">
                  <c:v>Public Space Investment</c:v>
                </c:pt>
                <c:pt idx="6">
                  <c:v>Greenery Investment</c:v>
                </c:pt>
              </c:strCache>
            </c:strRef>
          </c:cat>
          <c:val>
            <c:numRef>
              <c:f>Sensitivity!$G$5:$G$11</c:f>
              <c:numCache>
                <c:formatCode>0.00</c:formatCode>
                <c:ptCount val="7"/>
                <c:pt idx="0">
                  <c:v>4.649027465189369</c:v>
                </c:pt>
                <c:pt idx="1">
                  <c:v>0.26890854915966056</c:v>
                </c:pt>
                <c:pt idx="2">
                  <c:v>0.20561793708424503</c:v>
                </c:pt>
                <c:pt idx="3">
                  <c:v>0.68440168640879362</c:v>
                </c:pt>
                <c:pt idx="4">
                  <c:v>0.56462600686697151</c:v>
                </c:pt>
                <c:pt idx="5">
                  <c:v>6.9407075593967971E-2</c:v>
                </c:pt>
                <c:pt idx="6">
                  <c:v>3.1192738160067623E-2</c:v>
                </c:pt>
              </c:numCache>
            </c:numRef>
          </c:val>
          <c:extLst>
            <c:ext xmlns:c16="http://schemas.microsoft.com/office/drawing/2014/chart" uri="{C3380CC4-5D6E-409C-BE32-E72D297353CC}">
              <c16:uniqueId val="{00000001-1A20-41A0-94FA-F69B125A0631}"/>
            </c:ext>
          </c:extLst>
        </c:ser>
        <c:ser>
          <c:idx val="2"/>
          <c:order val="2"/>
          <c:spPr>
            <a:no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Sensitivity!$E$5:$E$11</c:f>
              <c:strCache>
                <c:ptCount val="7"/>
                <c:pt idx="0">
                  <c:v>Cost of Capital</c:v>
                </c:pt>
                <c:pt idx="1">
                  <c:v>Public Space Participation</c:v>
                </c:pt>
                <c:pt idx="2">
                  <c:v>Greenery Participation</c:v>
                </c:pt>
                <c:pt idx="3">
                  <c:v>Monorail Maintenance</c:v>
                </c:pt>
                <c:pt idx="4">
                  <c:v>Solar PV Investment</c:v>
                </c:pt>
                <c:pt idx="5">
                  <c:v>Public Space Investment</c:v>
                </c:pt>
                <c:pt idx="6">
                  <c:v>Greenery Investment</c:v>
                </c:pt>
              </c:strCache>
            </c:strRef>
          </c:cat>
          <c:val>
            <c:numRef>
              <c:f>Sensitivity!$H$5:$H$11</c:f>
              <c:numCache>
                <c:formatCode>0.00</c:formatCode>
                <c:ptCount val="7"/>
                <c:pt idx="0">
                  <c:v>6.3722644624964353</c:v>
                </c:pt>
                <c:pt idx="1">
                  <c:v>2.7811474627665347</c:v>
                </c:pt>
                <c:pt idx="2">
                  <c:v>2.7495021567288274</c:v>
                </c:pt>
                <c:pt idx="3">
                  <c:v>2.9888940313911014</c:v>
                </c:pt>
                <c:pt idx="4">
                  <c:v>2.9587844402542607</c:v>
                </c:pt>
                <c:pt idx="5">
                  <c:v>2.6818516818343237</c:v>
                </c:pt>
                <c:pt idx="6">
                  <c:v>2.662381459978945</c:v>
                </c:pt>
              </c:numCache>
            </c:numRef>
          </c:val>
          <c:extLst>
            <c:ext xmlns:c16="http://schemas.microsoft.com/office/drawing/2014/chart" uri="{C3380CC4-5D6E-409C-BE32-E72D297353CC}">
              <c16:uniqueId val="{00000002-1A20-41A0-94FA-F69B125A0631}"/>
            </c:ext>
          </c:extLst>
        </c:ser>
        <c:dLbls>
          <c:showLegendKey val="0"/>
          <c:showVal val="0"/>
          <c:showCatName val="0"/>
          <c:showSerName val="0"/>
          <c:showPercent val="0"/>
          <c:showBubbleSize val="0"/>
        </c:dLbls>
        <c:gapWidth val="150"/>
        <c:overlap val="100"/>
        <c:axId val="1261666448"/>
        <c:axId val="1026165520"/>
      </c:barChart>
      <c:catAx>
        <c:axId val="12616664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026165520"/>
        <c:crosses val="autoZero"/>
        <c:auto val="1"/>
        <c:lblAlgn val="ctr"/>
        <c:lblOffset val="100"/>
        <c:noMultiLvlLbl val="0"/>
      </c:catAx>
      <c:valAx>
        <c:axId val="1026165520"/>
        <c:scaling>
          <c:orientation val="minMax"/>
          <c:max val="7"/>
        </c:scaling>
        <c:delete val="0"/>
        <c:axPos val="b"/>
        <c:numFmt formatCode="0.0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61666448"/>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baseline="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4"/>
          <c:order val="0"/>
          <c:tx>
            <c:strRef>
              <c:f>Charts!$A$14</c:f>
              <c:strCache>
                <c:ptCount val="1"/>
                <c:pt idx="0">
                  <c:v>SROI</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1C-5741-93FB-1D20CD5649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1C-5741-93FB-1D20CD5649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1C-5741-93FB-1D20CD5649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A-FADE-8A49-9F47-CC6DE1D8AE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11C-5741-93FB-1D20CD564911}"/>
              </c:ext>
            </c:extLst>
          </c:dPt>
          <c:dLbls>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8958333333333333"/>
                      <c:h val="0.11689814814814815"/>
                    </c:manualLayout>
                  </c15:layout>
                </c:ext>
                <c:ext xmlns:c16="http://schemas.microsoft.com/office/drawing/2014/chart" uri="{C3380CC4-5D6E-409C-BE32-E72D297353CC}">
                  <c16:uniqueId val="{0000000A-FADE-8A49-9F47-CC6DE1D8AE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Charts!$B$9:$F$9</c:f>
              <c:strCache>
                <c:ptCount val="5"/>
                <c:pt idx="0">
                  <c:v>Greenery</c:v>
                </c:pt>
                <c:pt idx="1">
                  <c:v>Public Space</c:v>
                </c:pt>
                <c:pt idx="2">
                  <c:v>Water</c:v>
                </c:pt>
                <c:pt idx="3">
                  <c:v>Energy</c:v>
                </c:pt>
                <c:pt idx="4">
                  <c:v>Mobility</c:v>
                </c:pt>
              </c:strCache>
            </c:strRef>
          </c:cat>
          <c:val>
            <c:numRef>
              <c:f>Charts!$B$14:$F$14</c:f>
              <c:numCache>
                <c:formatCode>_(* #,##0.00_);_(* \(#,##0.00\);_(* "-"??_);_(@_)</c:formatCode>
                <c:ptCount val="5"/>
                <c:pt idx="0">
                  <c:v>22.662159271099775</c:v>
                </c:pt>
                <c:pt idx="1">
                  <c:v>14.408255571946681</c:v>
                </c:pt>
                <c:pt idx="2">
                  <c:v>4.1366379212358853</c:v>
                </c:pt>
                <c:pt idx="3">
                  <c:v>1.9770517832247942</c:v>
                </c:pt>
                <c:pt idx="4">
                  <c:v>0.22820378950094167</c:v>
                </c:pt>
              </c:numCache>
            </c:numRef>
          </c:val>
          <c:extLst>
            <c:ext xmlns:c16="http://schemas.microsoft.com/office/drawing/2014/chart" uri="{C3380CC4-5D6E-409C-BE32-E72D297353CC}">
              <c16:uniqueId val="{00000009-FADE-8A49-9F47-CC6DE1D8AE1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3"/>
          <c:order val="0"/>
          <c:tx>
            <c:strRef>
              <c:f>Charts!$A$13</c:f>
              <c:strCache>
                <c:ptCount val="1"/>
                <c:pt idx="0">
                  <c:v>Net Benefit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EA-E84E-A1EC-0349491C51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EA-E84E-A1EC-0349491C51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2EA-E84E-A1EC-0349491C51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2EA-E84E-A1EC-0349491C51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6-4F82-2045-9F9F-942A673F8212}"/>
              </c:ext>
            </c:extLst>
          </c:dPt>
          <c:dLbls>
            <c:dLbl>
              <c:idx val="4"/>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6-4F82-2045-9F9F-942A673F82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Charts!$B$9:$F$9</c:f>
              <c:strCache>
                <c:ptCount val="5"/>
                <c:pt idx="0">
                  <c:v>Greenery</c:v>
                </c:pt>
                <c:pt idx="1">
                  <c:v>Public Space</c:v>
                </c:pt>
                <c:pt idx="2">
                  <c:v>Water</c:v>
                </c:pt>
                <c:pt idx="3">
                  <c:v>Energy</c:v>
                </c:pt>
                <c:pt idx="4">
                  <c:v>Mobility</c:v>
                </c:pt>
              </c:strCache>
            </c:strRef>
          </c:cat>
          <c:val>
            <c:numRef>
              <c:f>Charts!$B$13:$F$13</c:f>
              <c:numCache>
                <c:formatCode>_(* #,##0.00_);_(* \(#,##0.00\);_(* "-"??_);_(@_)</c:formatCode>
                <c:ptCount val="5"/>
                <c:pt idx="0">
                  <c:v>452110826.99152726</c:v>
                </c:pt>
                <c:pt idx="1">
                  <c:v>639507589.35822463</c:v>
                </c:pt>
                <c:pt idx="2">
                  <c:v>103776707.78409617</c:v>
                </c:pt>
                <c:pt idx="3">
                  <c:v>989182732.78374529</c:v>
                </c:pt>
                <c:pt idx="4">
                  <c:v>58568926.692876101</c:v>
                </c:pt>
              </c:numCache>
            </c:numRef>
          </c:val>
          <c:extLst>
            <c:ext xmlns:c16="http://schemas.microsoft.com/office/drawing/2014/chart" uri="{C3380CC4-5D6E-409C-BE32-E72D297353CC}">
              <c16:uniqueId val="{00000003-4F82-2045-9F9F-942A673F8212}"/>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741469816272965"/>
          <c:y val="6.0185185185185182E-2"/>
          <c:w val="0.73036307961504809"/>
          <c:h val="0.68491469816272965"/>
        </c:manualLayout>
      </c:layout>
      <c:barChart>
        <c:barDir val="col"/>
        <c:grouping val="clustered"/>
        <c:varyColors val="0"/>
        <c:ser>
          <c:idx val="3"/>
          <c:order val="0"/>
          <c:tx>
            <c:strRef>
              <c:f>Charts!$A$3</c:f>
              <c:strCache>
                <c:ptCount val="1"/>
                <c:pt idx="0">
                  <c:v>Benefits</c:v>
                </c:pt>
              </c:strCache>
            </c:strRef>
          </c:tx>
          <c:spPr>
            <a:solidFill>
              <a:schemeClr val="accent1">
                <a:lumMod val="40000"/>
                <a:lumOff val="60000"/>
              </a:schemeClr>
            </a:solidFill>
            <a:ln w="19050">
              <a:solidFill>
                <a:schemeClr val="lt1"/>
              </a:solidFill>
            </a:ln>
            <a:effectLst/>
          </c:spPr>
          <c:invertIfNegative val="0"/>
          <c:cat>
            <c:strRef>
              <c:f>Charts!$B$2:$C$2</c:f>
              <c:strCache>
                <c:ptCount val="2"/>
                <c:pt idx="0">
                  <c:v>NUS Student and Staff</c:v>
                </c:pt>
                <c:pt idx="1">
                  <c:v>NUS &amp; University Campus Infrastructure</c:v>
                </c:pt>
              </c:strCache>
            </c:strRef>
          </c:cat>
          <c:val>
            <c:numRef>
              <c:f>Charts!$B$3:$C$3</c:f>
              <c:numCache>
                <c:formatCode>_(* #,##0.00_);_(* \(#,##0.00\);_(* "-"??_);_(@_)</c:formatCode>
                <c:ptCount val="2"/>
                <c:pt idx="0">
                  <c:v>2242344178.9095545</c:v>
                </c:pt>
                <c:pt idx="1">
                  <c:v>1208895244.6663547</c:v>
                </c:pt>
              </c:numCache>
            </c:numRef>
          </c:val>
          <c:extLst>
            <c:ext xmlns:c16="http://schemas.microsoft.com/office/drawing/2014/chart" uri="{C3380CC4-5D6E-409C-BE32-E72D297353CC}">
              <c16:uniqueId val="{00000003-FECB-454E-B098-AD627099BDE7}"/>
            </c:ext>
          </c:extLst>
        </c:ser>
        <c:ser>
          <c:idx val="0"/>
          <c:order val="1"/>
          <c:tx>
            <c:strRef>
              <c:f>Charts!$A$4</c:f>
              <c:strCache>
                <c:ptCount val="1"/>
                <c:pt idx="0">
                  <c:v>Costs</c:v>
                </c:pt>
              </c:strCache>
            </c:strRef>
          </c:tx>
          <c:spPr>
            <a:solidFill>
              <a:schemeClr val="accent1"/>
            </a:solidFill>
            <a:ln w="19050">
              <a:solidFill>
                <a:schemeClr val="lt1"/>
              </a:solidFill>
            </a:ln>
            <a:effectLst/>
          </c:spPr>
          <c:invertIfNegative val="0"/>
          <c:cat>
            <c:strRef>
              <c:f>Charts!$B$2:$C$2</c:f>
              <c:strCache>
                <c:ptCount val="2"/>
                <c:pt idx="0">
                  <c:v>NUS Student and Staff</c:v>
                </c:pt>
                <c:pt idx="1">
                  <c:v>NUS &amp; University Campus Infrastructure</c:v>
                </c:pt>
              </c:strCache>
            </c:strRef>
          </c:cat>
          <c:val>
            <c:numRef>
              <c:f>Charts!$B$4:$C$4</c:f>
              <c:numCache>
                <c:formatCode>_(* #,##0.00_);_(* \(#,##0.00\);_(* "-"??_);_(@_)</c:formatCode>
                <c:ptCount val="2"/>
                <c:pt idx="0">
                  <c:v>0</c:v>
                </c:pt>
                <c:pt idx="1">
                  <c:v>-1273062260.8700972</c:v>
                </c:pt>
              </c:numCache>
            </c:numRef>
          </c:val>
          <c:extLst>
            <c:ext xmlns:c16="http://schemas.microsoft.com/office/drawing/2014/chart" uri="{C3380CC4-5D6E-409C-BE32-E72D297353CC}">
              <c16:uniqueId val="{00000005-FECB-454E-B098-AD627099BDE7}"/>
            </c:ext>
          </c:extLst>
        </c:ser>
        <c:dLbls>
          <c:showLegendKey val="0"/>
          <c:showVal val="0"/>
          <c:showCatName val="0"/>
          <c:showSerName val="0"/>
          <c:showPercent val="0"/>
          <c:showBubbleSize val="0"/>
        </c:dLbls>
        <c:gapWidth val="150"/>
        <c:axId val="1093345567"/>
        <c:axId val="341247552"/>
      </c:barChart>
      <c:lineChart>
        <c:grouping val="standard"/>
        <c:varyColors val="0"/>
        <c:ser>
          <c:idx val="2"/>
          <c:order val="2"/>
          <c:tx>
            <c:strRef>
              <c:f>Charts!$A$6</c:f>
              <c:strCache>
                <c:ptCount val="1"/>
                <c:pt idx="0">
                  <c:v>Net Benefit</c:v>
                </c:pt>
              </c:strCache>
            </c:strRef>
          </c:tx>
          <c:spPr>
            <a:ln w="28575" cap="rnd">
              <a:solidFill>
                <a:schemeClr val="accent1">
                  <a:alpha val="0"/>
                </a:schemeClr>
              </a:solidFill>
              <a:round/>
            </a:ln>
            <a:effectLst/>
          </c:spPr>
          <c:marker>
            <c:symbol val="none"/>
          </c:marker>
          <c:dLbls>
            <c:dLbl>
              <c:idx val="0"/>
              <c:layout>
                <c:manualLayout>
                  <c:x val="-0.16374321959755031"/>
                  <c:y val="-2.777777777777777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ECB-454E-B098-AD627099BDE7}"/>
                </c:ext>
              </c:extLst>
            </c:dLbl>
            <c:dLbl>
              <c:idx val="1"/>
              <c:layout>
                <c:manualLayout>
                  <c:x val="-8.9895888013998351E-2"/>
                  <c:y val="-0.2824074074074073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ECB-454E-B098-AD627099BDE7}"/>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Charts!$B$2:$C$2</c:f>
              <c:strCache>
                <c:ptCount val="2"/>
                <c:pt idx="0">
                  <c:v>NUS Student and Staff</c:v>
                </c:pt>
                <c:pt idx="1">
                  <c:v>NUS &amp; University Campus Infrastructure</c:v>
                </c:pt>
              </c:strCache>
            </c:strRef>
          </c:cat>
          <c:val>
            <c:numRef>
              <c:f>Charts!$B$6:$C$6</c:f>
              <c:numCache>
                <c:formatCode>_(* #,##0.00_);_(* \(#,##0.00\);_(* "-"??_);_(@_)</c:formatCode>
                <c:ptCount val="2"/>
                <c:pt idx="0">
                  <c:v>2242344178.9095545</c:v>
                </c:pt>
                <c:pt idx="1">
                  <c:v>-64167016.203742504</c:v>
                </c:pt>
              </c:numCache>
            </c:numRef>
          </c:val>
          <c:smooth val="0"/>
          <c:extLst>
            <c:ext xmlns:c16="http://schemas.microsoft.com/office/drawing/2014/chart" uri="{C3380CC4-5D6E-409C-BE32-E72D297353CC}">
              <c16:uniqueId val="{00000007-FECB-454E-B098-AD627099BDE7}"/>
            </c:ext>
          </c:extLst>
        </c:ser>
        <c:dLbls>
          <c:showLegendKey val="0"/>
          <c:showVal val="0"/>
          <c:showCatName val="0"/>
          <c:showSerName val="0"/>
          <c:showPercent val="0"/>
          <c:showBubbleSize val="0"/>
        </c:dLbls>
        <c:marker val="1"/>
        <c:smooth val="0"/>
        <c:axId val="1093345567"/>
        <c:axId val="341247552"/>
      </c:lineChart>
      <c:catAx>
        <c:axId val="10933455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47552"/>
        <c:crosses val="autoZero"/>
        <c:auto val="1"/>
        <c:lblAlgn val="ctr"/>
        <c:lblOffset val="100"/>
        <c:noMultiLvlLbl val="0"/>
      </c:catAx>
      <c:valAx>
        <c:axId val="34124755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3455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Charts!$B$19</c:f>
              <c:strCache>
                <c:ptCount val="1"/>
                <c:pt idx="0">
                  <c:v>Cost Saving</c:v>
                </c:pt>
              </c:strCache>
            </c:strRef>
          </c:tx>
          <c:invertIfNegative val="0"/>
          <c:cat>
            <c:strRef>
              <c:f>Charts!$A$20:$A$24</c:f>
              <c:strCache>
                <c:ptCount val="5"/>
                <c:pt idx="0">
                  <c:v>Energy</c:v>
                </c:pt>
                <c:pt idx="1">
                  <c:v>Mobility</c:v>
                </c:pt>
                <c:pt idx="2">
                  <c:v>Public Space</c:v>
                </c:pt>
                <c:pt idx="3">
                  <c:v>Greenery</c:v>
                </c:pt>
                <c:pt idx="4">
                  <c:v>Water</c:v>
                </c:pt>
              </c:strCache>
            </c:strRef>
          </c:cat>
          <c:val>
            <c:numRef>
              <c:f>Charts!$B$20:$B$24</c:f>
              <c:numCache>
                <c:formatCode>_("$"* #,##0_);_("$"* \(#,##0\);_("$"* "-"??_);_(@_)</c:formatCode>
                <c:ptCount val="5"/>
                <c:pt idx="0">
                  <c:v>112.94840514000001</c:v>
                </c:pt>
                <c:pt idx="1">
                  <c:v>3.912431394576402</c:v>
                </c:pt>
                <c:pt idx="2">
                  <c:v>0</c:v>
                </c:pt>
                <c:pt idx="3">
                  <c:v>1.5324964425499348</c:v>
                </c:pt>
                <c:pt idx="4">
                  <c:v>6.61092192</c:v>
                </c:pt>
              </c:numCache>
            </c:numRef>
          </c:val>
          <c:extLst>
            <c:ext xmlns:c16="http://schemas.microsoft.com/office/drawing/2014/chart" uri="{C3380CC4-5D6E-409C-BE32-E72D297353CC}">
              <c16:uniqueId val="{0000000E-609F-E247-B047-47376B26CF1B}"/>
            </c:ext>
          </c:extLst>
        </c:ser>
        <c:ser>
          <c:idx val="1"/>
          <c:order val="1"/>
          <c:tx>
            <c:strRef>
              <c:f>Charts!$C$19</c:f>
              <c:strCache>
                <c:ptCount val="1"/>
                <c:pt idx="0">
                  <c:v>Increased Income</c:v>
                </c:pt>
              </c:strCache>
            </c:strRef>
          </c:tx>
          <c:spPr>
            <a:solidFill>
              <a:schemeClr val="accent1">
                <a:lumMod val="40000"/>
                <a:lumOff val="60000"/>
              </a:schemeClr>
            </a:solidFill>
          </c:spPr>
          <c:invertIfNegative val="0"/>
          <c:cat>
            <c:strRef>
              <c:f>Charts!$A$20:$A$24</c:f>
              <c:strCache>
                <c:ptCount val="5"/>
                <c:pt idx="0">
                  <c:v>Energy</c:v>
                </c:pt>
                <c:pt idx="1">
                  <c:v>Mobility</c:v>
                </c:pt>
                <c:pt idx="2">
                  <c:v>Public Space</c:v>
                </c:pt>
                <c:pt idx="3">
                  <c:v>Greenery</c:v>
                </c:pt>
                <c:pt idx="4">
                  <c:v>Water</c:v>
                </c:pt>
              </c:strCache>
            </c:strRef>
          </c:cat>
          <c:val>
            <c:numRef>
              <c:f>Charts!$C$20:$C$24</c:f>
              <c:numCache>
                <c:formatCode>_("$"* #,##0_);_("$"* \(#,##0\);_("$"* "-"??_);_(@_)</c:formatCode>
                <c:ptCount val="5"/>
                <c:pt idx="0">
                  <c:v>0</c:v>
                </c:pt>
                <c:pt idx="1">
                  <c:v>69.382554054147747</c:v>
                </c:pt>
                <c:pt idx="2">
                  <c:v>34.295653135180963</c:v>
                </c:pt>
                <c:pt idx="3">
                  <c:v>22.979467365274168</c:v>
                </c:pt>
                <c:pt idx="4">
                  <c:v>0</c:v>
                </c:pt>
              </c:numCache>
            </c:numRef>
          </c:val>
          <c:extLst>
            <c:ext xmlns:c16="http://schemas.microsoft.com/office/drawing/2014/chart" uri="{C3380CC4-5D6E-409C-BE32-E72D297353CC}">
              <c16:uniqueId val="{0000000F-609F-E247-B047-47376B26CF1B}"/>
            </c:ext>
          </c:extLst>
        </c:ser>
        <c:dLbls>
          <c:showLegendKey val="0"/>
          <c:showVal val="0"/>
          <c:showCatName val="0"/>
          <c:showSerName val="0"/>
          <c:showPercent val="0"/>
          <c:showBubbleSize val="0"/>
        </c:dLbls>
        <c:gapWidth val="100"/>
        <c:overlap val="100"/>
        <c:axId val="49882288"/>
        <c:axId val="49899680"/>
      </c:barChart>
      <c:catAx>
        <c:axId val="49882288"/>
        <c:scaling>
          <c:orientation val="minMax"/>
        </c:scaling>
        <c:delete val="0"/>
        <c:axPos val="b"/>
        <c:numFmt formatCode="General" sourceLinked="1"/>
        <c:majorTickMark val="out"/>
        <c:minorTickMark val="none"/>
        <c:tickLblPos val="nextTo"/>
        <c:crossAx val="49899680"/>
        <c:crosses val="autoZero"/>
        <c:auto val="1"/>
        <c:lblAlgn val="ctr"/>
        <c:lblOffset val="100"/>
        <c:noMultiLvlLbl val="0"/>
      </c:catAx>
      <c:valAx>
        <c:axId val="49899680"/>
        <c:scaling>
          <c:orientation val="minMax"/>
        </c:scaling>
        <c:delete val="0"/>
        <c:axPos val="l"/>
        <c:majorGridlines/>
        <c:numFmt formatCode="_(&quot;$&quot;* #,##0_);_(&quot;$&quot;* \(#,##0\);_(&quot;$&quot;* &quot;-&quot;_);_(@_)" sourceLinked="0"/>
        <c:majorTickMark val="out"/>
        <c:minorTickMark val="none"/>
        <c:tickLblPos val="nextTo"/>
        <c:crossAx val="49882288"/>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Investment Cost</a:t>
            </a:r>
            <a:r>
              <a:rPr lang="en-US" baseline="0"/>
              <a:t> Composition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1-50A7-4EDA-8FD6-A9D60698A2AA}"/>
              </c:ext>
            </c:extLst>
          </c:dPt>
          <c:dPt>
            <c:idx val="1"/>
            <c:invertIfNegative val="0"/>
            <c:bubble3D val="0"/>
            <c:spPr>
              <a:solidFill>
                <a:srgbClr val="92D050"/>
              </a:solidFill>
              <a:ln w="19050">
                <a:solidFill>
                  <a:schemeClr val="lt1"/>
                </a:solidFill>
              </a:ln>
              <a:effectLst/>
            </c:spPr>
            <c:extLst>
              <c:ext xmlns:c16="http://schemas.microsoft.com/office/drawing/2014/chart" uri="{C3380CC4-5D6E-409C-BE32-E72D297353CC}">
                <c16:uniqueId val="{00000003-50A7-4EDA-8FD6-A9D60698A2AA}"/>
              </c:ext>
            </c:extLst>
          </c:dPt>
          <c:dPt>
            <c:idx val="2"/>
            <c:invertIfNegative val="0"/>
            <c:bubble3D val="0"/>
            <c:spPr>
              <a:solidFill>
                <a:srgbClr val="9966FF"/>
              </a:solidFill>
              <a:ln w="19050">
                <a:solidFill>
                  <a:schemeClr val="lt1"/>
                </a:solidFill>
              </a:ln>
              <a:effectLst/>
            </c:spPr>
            <c:extLst>
              <c:ext xmlns:c16="http://schemas.microsoft.com/office/drawing/2014/chart" uri="{C3380CC4-5D6E-409C-BE32-E72D297353CC}">
                <c16:uniqueId val="{00000005-50A7-4EDA-8FD6-A9D60698A2AA}"/>
              </c:ext>
            </c:extLst>
          </c:dPt>
          <c:dPt>
            <c:idx val="3"/>
            <c:invertIfNegative val="0"/>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7-50A7-4EDA-8FD6-A9D60698A2AA}"/>
              </c:ext>
            </c:extLst>
          </c:dPt>
          <c:dPt>
            <c:idx val="4"/>
            <c:invertIfNegative val="0"/>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9-50A7-4EDA-8FD6-A9D60698A2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Charts!$B$48:$B$52</c:f>
              <c:strCache>
                <c:ptCount val="5"/>
                <c:pt idx="0">
                  <c:v>Public Space</c:v>
                </c:pt>
                <c:pt idx="1">
                  <c:v>Greenery</c:v>
                </c:pt>
                <c:pt idx="2">
                  <c:v>Mobility</c:v>
                </c:pt>
                <c:pt idx="3">
                  <c:v>Water</c:v>
                </c:pt>
                <c:pt idx="4">
                  <c:v>Energy</c:v>
                </c:pt>
              </c:strCache>
            </c:strRef>
          </c:cat>
          <c:val>
            <c:numRef>
              <c:f>Charts!$C$48:$C$52</c:f>
              <c:numCache>
                <c:formatCode>_(* #,##0.00_);_(* \(#,##0.00\);_(* "-"??_);_(@_)</c:formatCode>
                <c:ptCount val="5"/>
                <c:pt idx="0">
                  <c:v>44384803.293145753</c:v>
                </c:pt>
                <c:pt idx="1">
                  <c:v>19950033.074213177</c:v>
                </c:pt>
                <c:pt idx="2">
                  <c:v>256651858.50313962</c:v>
                </c:pt>
                <c:pt idx="3">
                  <c:v>25087210.860623557</c:v>
                </c:pt>
                <c:pt idx="4">
                  <c:v>500332232.65921587</c:v>
                </c:pt>
              </c:numCache>
            </c:numRef>
          </c:val>
          <c:extLst>
            <c:ext xmlns:c16="http://schemas.microsoft.com/office/drawing/2014/chart" uri="{C3380CC4-5D6E-409C-BE32-E72D297353CC}">
              <c16:uniqueId val="{0000000A-50A7-4EDA-8FD6-A9D60698A2AA}"/>
            </c:ext>
          </c:extLst>
        </c:ser>
        <c:dLbls>
          <c:showLegendKey val="0"/>
          <c:showVal val="0"/>
          <c:showCatName val="0"/>
          <c:showSerName val="0"/>
          <c:showPercent val="0"/>
          <c:showBubbleSize val="0"/>
        </c:dLbls>
        <c:gapWidth val="150"/>
        <c:axId val="648057679"/>
        <c:axId val="1109056895"/>
      </c:barChart>
      <c:valAx>
        <c:axId val="1109056895"/>
        <c:scaling>
          <c:orientation val="minMax"/>
        </c:scaling>
        <c:delete val="1"/>
        <c:axPos val="b"/>
        <c:numFmt formatCode="_(* #,##0.00_);_(* \(#,##0.00\);_(* &quot;-&quot;??_);_(@_)" sourceLinked="1"/>
        <c:majorTickMark val="out"/>
        <c:minorTickMark val="none"/>
        <c:tickLblPos val="nextTo"/>
        <c:crossAx val="648057679"/>
        <c:crosses val="autoZero"/>
        <c:crossBetween val="between"/>
      </c:valAx>
      <c:catAx>
        <c:axId val="6480576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0568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Maintenance Cost Composition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1-7560-4437-A8C0-181FDD79DABC}"/>
              </c:ext>
            </c:extLst>
          </c:dPt>
          <c:dPt>
            <c:idx val="1"/>
            <c:invertIfNegative val="0"/>
            <c:bubble3D val="0"/>
            <c:spPr>
              <a:solidFill>
                <a:srgbClr val="92D050"/>
              </a:solidFill>
              <a:ln>
                <a:noFill/>
              </a:ln>
              <a:effectLst/>
            </c:spPr>
            <c:extLst>
              <c:ext xmlns:c16="http://schemas.microsoft.com/office/drawing/2014/chart" uri="{C3380CC4-5D6E-409C-BE32-E72D297353CC}">
                <c16:uniqueId val="{00000003-7560-4437-A8C0-181FDD79DABC}"/>
              </c:ext>
            </c:extLst>
          </c:dPt>
          <c:dPt>
            <c:idx val="2"/>
            <c:invertIfNegative val="0"/>
            <c:bubble3D val="0"/>
            <c:spPr>
              <a:solidFill>
                <a:srgbClr val="9966FF"/>
              </a:solidFill>
              <a:ln>
                <a:noFill/>
              </a:ln>
              <a:effectLst/>
            </c:spPr>
            <c:extLst>
              <c:ext xmlns:c16="http://schemas.microsoft.com/office/drawing/2014/chart" uri="{C3380CC4-5D6E-409C-BE32-E72D297353CC}">
                <c16:uniqueId val="{00000005-7560-4437-A8C0-181FDD79DABC}"/>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7-7560-4437-A8C0-181FDD79DABC}"/>
              </c:ext>
            </c:extLst>
          </c:dPt>
          <c:dPt>
            <c:idx val="4"/>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9-7560-4437-A8C0-181FDD79DABC}"/>
              </c:ext>
            </c:extLst>
          </c:dPt>
          <c:dLbls>
            <c:dLbl>
              <c:idx val="2"/>
              <c:layout>
                <c:manualLayout>
                  <c:x val="0"/>
                  <c:y val="-7.40740740740741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560-4437-A8C0-181FDD79DAB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Charts!$E$48:$E$52</c:f>
              <c:strCache>
                <c:ptCount val="5"/>
                <c:pt idx="0">
                  <c:v>Public Space</c:v>
                </c:pt>
                <c:pt idx="1">
                  <c:v>Greenery</c:v>
                </c:pt>
                <c:pt idx="2">
                  <c:v>Mobility</c:v>
                </c:pt>
                <c:pt idx="3">
                  <c:v>Water</c:v>
                </c:pt>
                <c:pt idx="4">
                  <c:v>Energy</c:v>
                </c:pt>
              </c:strCache>
            </c:strRef>
          </c:cat>
          <c:val>
            <c:numRef>
              <c:f>Charts!$F$48:$F$52</c:f>
              <c:numCache>
                <c:formatCode>_(* #,##0.00_);_(* \(#,##0.00\);_(* "-"??_);_(@_)</c:formatCode>
                <c:ptCount val="5"/>
                <c:pt idx="0">
                  <c:v>697687.02455589583</c:v>
                </c:pt>
                <c:pt idx="1">
                  <c:v>759307.08212070598</c:v>
                </c:pt>
                <c:pt idx="2">
                  <c:v>69768000.000000015</c:v>
                </c:pt>
                <c:pt idx="3">
                  <c:v>1158779.7261890499</c:v>
                </c:pt>
                <c:pt idx="4">
                  <c:v>4293234.7031963468</c:v>
                </c:pt>
              </c:numCache>
            </c:numRef>
          </c:val>
          <c:extLst>
            <c:ext xmlns:c16="http://schemas.microsoft.com/office/drawing/2014/chart" uri="{C3380CC4-5D6E-409C-BE32-E72D297353CC}">
              <c16:uniqueId val="{0000000A-7560-4437-A8C0-181FDD79DABC}"/>
            </c:ext>
          </c:extLst>
        </c:ser>
        <c:dLbls>
          <c:showLegendKey val="0"/>
          <c:showVal val="0"/>
          <c:showCatName val="0"/>
          <c:showSerName val="0"/>
          <c:showPercent val="0"/>
          <c:showBubbleSize val="0"/>
        </c:dLbls>
        <c:gapWidth val="182"/>
        <c:axId val="617713791"/>
        <c:axId val="928197535"/>
      </c:barChart>
      <c:catAx>
        <c:axId val="617713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197535"/>
        <c:crosses val="autoZero"/>
        <c:auto val="1"/>
        <c:lblAlgn val="ctr"/>
        <c:lblOffset val="100"/>
        <c:noMultiLvlLbl val="0"/>
      </c:catAx>
      <c:valAx>
        <c:axId val="928197535"/>
        <c:scaling>
          <c:orientation val="minMax"/>
        </c:scaling>
        <c:delete val="1"/>
        <c:axPos val="b"/>
        <c:numFmt formatCode="_(* #,##0.00_);_(* \(#,##0.00\);_(* &quot;-&quot;??_);_(@_)" sourceLinked="1"/>
        <c:majorTickMark val="none"/>
        <c:minorTickMark val="none"/>
        <c:tickLblPos val="nextTo"/>
        <c:crossAx val="6177137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25</xdr:row>
      <xdr:rowOff>104775</xdr:rowOff>
    </xdr:from>
    <xdr:to>
      <xdr:col>3</xdr:col>
      <xdr:colOff>88737</xdr:colOff>
      <xdr:row>36</xdr:row>
      <xdr:rowOff>171450</xdr:rowOff>
    </xdr:to>
    <xdr:pic>
      <xdr:nvPicPr>
        <xdr:cNvPr id="2" name="Picture 1">
          <a:extLst>
            <a:ext uri="{FF2B5EF4-FFF2-40B4-BE49-F238E27FC236}">
              <a16:creationId xmlns:a16="http://schemas.microsoft.com/office/drawing/2014/main" id="{4A56C1C5-D60E-3E6C-830D-010690E53231}"/>
            </a:ext>
          </a:extLst>
        </xdr:cNvPr>
        <xdr:cNvPicPr>
          <a:picLocks noChangeAspect="1"/>
        </xdr:cNvPicPr>
      </xdr:nvPicPr>
      <xdr:blipFill>
        <a:blip xmlns:r="http://schemas.openxmlformats.org/officeDocument/2006/relationships" r:embed="rId1"/>
        <a:stretch>
          <a:fillRect/>
        </a:stretch>
      </xdr:blipFill>
      <xdr:spPr>
        <a:xfrm>
          <a:off x="19050" y="4867275"/>
          <a:ext cx="3336762" cy="2162175"/>
        </a:xfrm>
        <a:prstGeom prst="rect">
          <a:avLst/>
        </a:prstGeom>
      </xdr:spPr>
    </xdr:pic>
    <xdr:clientData/>
  </xdr:twoCellAnchor>
  <xdr:twoCellAnchor editAs="oneCell">
    <xdr:from>
      <xdr:col>6</xdr:col>
      <xdr:colOff>533401</xdr:colOff>
      <xdr:row>25</xdr:row>
      <xdr:rowOff>66675</xdr:rowOff>
    </xdr:from>
    <xdr:to>
      <xdr:col>10</xdr:col>
      <xdr:colOff>355601</xdr:colOff>
      <xdr:row>33</xdr:row>
      <xdr:rowOff>27796</xdr:rowOff>
    </xdr:to>
    <xdr:pic>
      <xdr:nvPicPr>
        <xdr:cNvPr id="10" name="Picture 2">
          <a:extLst>
            <a:ext uri="{FF2B5EF4-FFF2-40B4-BE49-F238E27FC236}">
              <a16:creationId xmlns:a16="http://schemas.microsoft.com/office/drawing/2014/main" id="{C37E242F-1AD3-2308-57DB-DC60FDB19DCC}"/>
            </a:ext>
          </a:extLst>
        </xdr:cNvPr>
        <xdr:cNvPicPr>
          <a:picLocks noChangeAspect="1"/>
        </xdr:cNvPicPr>
      </xdr:nvPicPr>
      <xdr:blipFill>
        <a:blip xmlns:r="http://schemas.openxmlformats.org/officeDocument/2006/relationships" r:embed="rId2"/>
        <a:stretch>
          <a:fillRect/>
        </a:stretch>
      </xdr:blipFill>
      <xdr:spPr>
        <a:xfrm>
          <a:off x="4076701" y="4829175"/>
          <a:ext cx="2514600" cy="1485121"/>
        </a:xfrm>
        <a:prstGeom prst="rect">
          <a:avLst/>
        </a:prstGeom>
      </xdr:spPr>
    </xdr:pic>
    <xdr:clientData/>
  </xdr:twoCellAnchor>
  <xdr:twoCellAnchor editAs="oneCell">
    <xdr:from>
      <xdr:col>6</xdr:col>
      <xdr:colOff>381000</xdr:colOff>
      <xdr:row>32</xdr:row>
      <xdr:rowOff>57150</xdr:rowOff>
    </xdr:from>
    <xdr:to>
      <xdr:col>10</xdr:col>
      <xdr:colOff>466725</xdr:colOff>
      <xdr:row>38</xdr:row>
      <xdr:rowOff>76777</xdr:rowOff>
    </xdr:to>
    <xdr:pic>
      <xdr:nvPicPr>
        <xdr:cNvPr id="4" name="Picture 3">
          <a:extLst>
            <a:ext uri="{FF2B5EF4-FFF2-40B4-BE49-F238E27FC236}">
              <a16:creationId xmlns:a16="http://schemas.microsoft.com/office/drawing/2014/main" id="{88255735-9EF4-2572-A350-701DF0729976}"/>
            </a:ext>
          </a:extLst>
        </xdr:cNvPr>
        <xdr:cNvPicPr>
          <a:picLocks noChangeAspect="1"/>
        </xdr:cNvPicPr>
      </xdr:nvPicPr>
      <xdr:blipFill>
        <a:blip xmlns:r="http://schemas.openxmlformats.org/officeDocument/2006/relationships" r:embed="rId3"/>
        <a:stretch>
          <a:fillRect/>
        </a:stretch>
      </xdr:blipFill>
      <xdr:spPr>
        <a:xfrm>
          <a:off x="3429000" y="6153150"/>
          <a:ext cx="2524125" cy="1162627"/>
        </a:xfrm>
        <a:prstGeom prst="rect">
          <a:avLst/>
        </a:prstGeom>
      </xdr:spPr>
    </xdr:pic>
    <xdr:clientData/>
  </xdr:twoCellAnchor>
  <xdr:twoCellAnchor editAs="oneCell">
    <xdr:from>
      <xdr:col>6</xdr:col>
      <xdr:colOff>476250</xdr:colOff>
      <xdr:row>37</xdr:row>
      <xdr:rowOff>19050</xdr:rowOff>
    </xdr:from>
    <xdr:to>
      <xdr:col>10</xdr:col>
      <xdr:colOff>314325</xdr:colOff>
      <xdr:row>46</xdr:row>
      <xdr:rowOff>75667</xdr:rowOff>
    </xdr:to>
    <xdr:pic>
      <xdr:nvPicPr>
        <xdr:cNvPr id="5" name="Picture 4">
          <a:extLst>
            <a:ext uri="{FF2B5EF4-FFF2-40B4-BE49-F238E27FC236}">
              <a16:creationId xmlns:a16="http://schemas.microsoft.com/office/drawing/2014/main" id="{013BFC1D-6DC3-791C-4B29-254A02061089}"/>
            </a:ext>
          </a:extLst>
        </xdr:cNvPr>
        <xdr:cNvPicPr>
          <a:picLocks noChangeAspect="1"/>
        </xdr:cNvPicPr>
      </xdr:nvPicPr>
      <xdr:blipFill>
        <a:blip xmlns:r="http://schemas.openxmlformats.org/officeDocument/2006/relationships" r:embed="rId4"/>
        <a:stretch>
          <a:fillRect/>
        </a:stretch>
      </xdr:blipFill>
      <xdr:spPr>
        <a:xfrm>
          <a:off x="3524250" y="7067550"/>
          <a:ext cx="2276475" cy="1771117"/>
        </a:xfrm>
        <a:prstGeom prst="rect">
          <a:avLst/>
        </a:prstGeom>
      </xdr:spPr>
    </xdr:pic>
    <xdr:clientData/>
  </xdr:twoCellAnchor>
  <xdr:twoCellAnchor editAs="oneCell">
    <xdr:from>
      <xdr:col>13</xdr:col>
      <xdr:colOff>1</xdr:colOff>
      <xdr:row>25</xdr:row>
      <xdr:rowOff>47625</xdr:rowOff>
    </xdr:from>
    <xdr:to>
      <xdr:col>20</xdr:col>
      <xdr:colOff>495300</xdr:colOff>
      <xdr:row>38</xdr:row>
      <xdr:rowOff>141188</xdr:rowOff>
    </xdr:to>
    <xdr:pic>
      <xdr:nvPicPr>
        <xdr:cNvPr id="6" name="Picture 5">
          <a:extLst>
            <a:ext uri="{FF2B5EF4-FFF2-40B4-BE49-F238E27FC236}">
              <a16:creationId xmlns:a16="http://schemas.microsoft.com/office/drawing/2014/main" id="{F7A4A222-8EBE-67DF-FBAE-4D50B129C99D}"/>
            </a:ext>
          </a:extLst>
        </xdr:cNvPr>
        <xdr:cNvPicPr>
          <a:picLocks noChangeAspect="1"/>
        </xdr:cNvPicPr>
      </xdr:nvPicPr>
      <xdr:blipFill>
        <a:blip xmlns:r="http://schemas.openxmlformats.org/officeDocument/2006/relationships" r:embed="rId5"/>
        <a:stretch>
          <a:fillRect/>
        </a:stretch>
      </xdr:blipFill>
      <xdr:spPr>
        <a:xfrm>
          <a:off x="6096001" y="4810125"/>
          <a:ext cx="4762499" cy="2570063"/>
        </a:xfrm>
        <a:prstGeom prst="rect">
          <a:avLst/>
        </a:prstGeom>
      </xdr:spPr>
    </xdr:pic>
    <xdr:clientData/>
  </xdr:twoCellAnchor>
  <xdr:twoCellAnchor editAs="oneCell">
    <xdr:from>
      <xdr:col>12</xdr:col>
      <xdr:colOff>523876</xdr:colOff>
      <xdr:row>39</xdr:row>
      <xdr:rowOff>76201</xdr:rowOff>
    </xdr:from>
    <xdr:to>
      <xdr:col>20</xdr:col>
      <xdr:colOff>495300</xdr:colOff>
      <xdr:row>45</xdr:row>
      <xdr:rowOff>19661</xdr:rowOff>
    </xdr:to>
    <xdr:pic>
      <xdr:nvPicPr>
        <xdr:cNvPr id="7" name="Picture 6">
          <a:extLst>
            <a:ext uri="{FF2B5EF4-FFF2-40B4-BE49-F238E27FC236}">
              <a16:creationId xmlns:a16="http://schemas.microsoft.com/office/drawing/2014/main" id="{B8CA53B2-808A-89AE-3A05-7CCE4417D912}"/>
            </a:ext>
          </a:extLst>
        </xdr:cNvPr>
        <xdr:cNvPicPr>
          <a:picLocks noChangeAspect="1"/>
        </xdr:cNvPicPr>
      </xdr:nvPicPr>
      <xdr:blipFill>
        <a:blip xmlns:r="http://schemas.openxmlformats.org/officeDocument/2006/relationships" r:embed="rId6"/>
        <a:stretch>
          <a:fillRect/>
        </a:stretch>
      </xdr:blipFill>
      <xdr:spPr>
        <a:xfrm>
          <a:off x="7229476" y="7505701"/>
          <a:ext cx="4848224" cy="1086460"/>
        </a:xfrm>
        <a:prstGeom prst="rect">
          <a:avLst/>
        </a:prstGeom>
      </xdr:spPr>
    </xdr:pic>
    <xdr:clientData/>
  </xdr:twoCellAnchor>
  <xdr:twoCellAnchor editAs="oneCell">
    <xdr:from>
      <xdr:col>1</xdr:col>
      <xdr:colOff>0</xdr:colOff>
      <xdr:row>39</xdr:row>
      <xdr:rowOff>0</xdr:rowOff>
    </xdr:from>
    <xdr:to>
      <xdr:col>2</xdr:col>
      <xdr:colOff>809985</xdr:colOff>
      <xdr:row>52</xdr:row>
      <xdr:rowOff>28927</xdr:rowOff>
    </xdr:to>
    <xdr:pic>
      <xdr:nvPicPr>
        <xdr:cNvPr id="8" name="Picture 7">
          <a:extLst>
            <a:ext uri="{FF2B5EF4-FFF2-40B4-BE49-F238E27FC236}">
              <a16:creationId xmlns:a16="http://schemas.microsoft.com/office/drawing/2014/main" id="{A4DD039A-D79C-E341-3997-358564A247D1}"/>
            </a:ext>
          </a:extLst>
        </xdr:cNvPr>
        <xdr:cNvPicPr>
          <a:picLocks noChangeAspect="1"/>
        </xdr:cNvPicPr>
      </xdr:nvPicPr>
      <xdr:blipFill>
        <a:blip xmlns:r="http://schemas.openxmlformats.org/officeDocument/2006/relationships" r:embed="rId7"/>
        <a:stretch>
          <a:fillRect/>
        </a:stretch>
      </xdr:blipFill>
      <xdr:spPr>
        <a:xfrm>
          <a:off x="0" y="7429500"/>
          <a:ext cx="2581635" cy="2524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12700</xdr:colOff>
      <xdr:row>1</xdr:row>
      <xdr:rowOff>25400</xdr:rowOff>
    </xdr:from>
    <xdr:to>
      <xdr:col>6</xdr:col>
      <xdr:colOff>1460500</xdr:colOff>
      <xdr:row>33</xdr:row>
      <xdr:rowOff>9525</xdr:rowOff>
    </xdr:to>
    <xdr:pic>
      <xdr:nvPicPr>
        <xdr:cNvPr id="3" name="Picture 1">
          <a:extLst>
            <a:ext uri="{FF2B5EF4-FFF2-40B4-BE49-F238E27FC236}">
              <a16:creationId xmlns:a16="http://schemas.microsoft.com/office/drawing/2014/main" id="{89571401-13C3-772F-134D-86C3D070AD7C}"/>
            </a:ext>
          </a:extLst>
        </xdr:cNvPr>
        <xdr:cNvPicPr>
          <a:picLocks noChangeAspect="1"/>
        </xdr:cNvPicPr>
      </xdr:nvPicPr>
      <xdr:blipFill>
        <a:blip xmlns:r="http://schemas.openxmlformats.org/officeDocument/2006/relationships" r:embed="rId1"/>
        <a:stretch>
          <a:fillRect/>
        </a:stretch>
      </xdr:blipFill>
      <xdr:spPr>
        <a:xfrm>
          <a:off x="9347200" y="266700"/>
          <a:ext cx="1447800" cy="7556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466725</xdr:colOff>
      <xdr:row>13</xdr:row>
      <xdr:rowOff>180975</xdr:rowOff>
    </xdr:from>
    <xdr:to>
      <xdr:col>4</xdr:col>
      <xdr:colOff>0</xdr:colOff>
      <xdr:row>28</xdr:row>
      <xdr:rowOff>133350</xdr:rowOff>
    </xdr:to>
    <xdr:grpSp>
      <xdr:nvGrpSpPr>
        <xdr:cNvPr id="4" name="Group 3">
          <a:extLst>
            <a:ext uri="{FF2B5EF4-FFF2-40B4-BE49-F238E27FC236}">
              <a16:creationId xmlns:a16="http://schemas.microsoft.com/office/drawing/2014/main" id="{7BA0A6FE-5F99-EA2B-76D9-C89AB5E86497}"/>
            </a:ext>
          </a:extLst>
        </xdr:cNvPr>
        <xdr:cNvGrpSpPr/>
      </xdr:nvGrpSpPr>
      <xdr:grpSpPr>
        <a:xfrm>
          <a:off x="466725" y="2724150"/>
          <a:ext cx="4981575" cy="2809875"/>
          <a:chOff x="1581150" y="2924175"/>
          <a:chExt cx="8758239" cy="4543425"/>
        </a:xfrm>
      </xdr:grpSpPr>
      <xdr:graphicFrame macro="">
        <xdr:nvGraphicFramePr>
          <xdr:cNvPr id="2" name="Chart 1">
            <a:extLst>
              <a:ext uri="{FF2B5EF4-FFF2-40B4-BE49-F238E27FC236}">
                <a16:creationId xmlns:a16="http://schemas.microsoft.com/office/drawing/2014/main" id="{330E021B-E2BC-42E7-9852-C3CA49131B23}"/>
              </a:ext>
            </a:extLst>
          </xdr:cNvPr>
          <xdr:cNvGraphicFramePr>
            <a:graphicFrameLocks/>
          </xdr:cNvGraphicFramePr>
        </xdr:nvGraphicFramePr>
        <xdr:xfrm>
          <a:off x="1581150" y="2924175"/>
          <a:ext cx="8758239" cy="4543425"/>
        </xdr:xfrm>
        <a:graphic>
          <a:graphicData uri="http://schemas.openxmlformats.org/drawingml/2006/chart">
            <c:chart xmlns:c="http://schemas.openxmlformats.org/drawingml/2006/chart" xmlns:r="http://schemas.openxmlformats.org/officeDocument/2006/relationships" r:id="rId1"/>
          </a:graphicData>
        </a:graphic>
      </xdr:graphicFrame>
      <xdr:cxnSp macro="">
        <xdr:nvCxnSpPr>
          <xdr:cNvPr id="3" name="Straight Connector 2">
            <a:extLst>
              <a:ext uri="{FF2B5EF4-FFF2-40B4-BE49-F238E27FC236}">
                <a16:creationId xmlns:a16="http://schemas.microsoft.com/office/drawing/2014/main" id="{AA1152F0-DF1B-4011-AF11-810058BACD1B}"/>
              </a:ext>
            </a:extLst>
          </xdr:cNvPr>
          <xdr:cNvCxnSpPr/>
        </xdr:nvCxnSpPr>
        <xdr:spPr>
          <a:xfrm flipV="1">
            <a:off x="6389342" y="3601838"/>
            <a:ext cx="0" cy="3232462"/>
          </a:xfrm>
          <a:prstGeom prst="line">
            <a:avLst/>
          </a:prstGeom>
          <a:ln w="12700">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596900</xdr:colOff>
      <xdr:row>0</xdr:row>
      <xdr:rowOff>57150</xdr:rowOff>
    </xdr:from>
    <xdr:to>
      <xdr:col>7</xdr:col>
      <xdr:colOff>482600</xdr:colOff>
      <xdr:row>7</xdr:row>
      <xdr:rowOff>25400</xdr:rowOff>
    </xdr:to>
    <xdr:graphicFrame macro="">
      <xdr:nvGraphicFramePr>
        <xdr:cNvPr id="2" name="Chart 1">
          <a:extLst>
            <a:ext uri="{FF2B5EF4-FFF2-40B4-BE49-F238E27FC236}">
              <a16:creationId xmlns:a16="http://schemas.microsoft.com/office/drawing/2014/main" id="{2F152A38-F876-4F29-BC16-210EC7BB13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584200</xdr:colOff>
      <xdr:row>8</xdr:row>
      <xdr:rowOff>158750</xdr:rowOff>
    </xdr:from>
    <xdr:to>
      <xdr:col>13</xdr:col>
      <xdr:colOff>203200</xdr:colOff>
      <xdr:row>19</xdr:row>
      <xdr:rowOff>139700</xdr:rowOff>
    </xdr:to>
    <xdr:graphicFrame macro="">
      <xdr:nvGraphicFramePr>
        <xdr:cNvPr id="3" name="Chart 2">
          <a:extLst>
            <a:ext uri="{FF2B5EF4-FFF2-40B4-BE49-F238E27FC236}">
              <a16:creationId xmlns:a16="http://schemas.microsoft.com/office/drawing/2014/main" id="{F301E740-18B0-6C56-9358-C07D512374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647700</xdr:colOff>
      <xdr:row>31</xdr:row>
      <xdr:rowOff>57150</xdr:rowOff>
    </xdr:from>
    <xdr:to>
      <xdr:col>7</xdr:col>
      <xdr:colOff>533400</xdr:colOff>
      <xdr:row>41</xdr:row>
      <xdr:rowOff>114300</xdr:rowOff>
    </xdr:to>
    <xdr:graphicFrame macro="">
      <xdr:nvGraphicFramePr>
        <xdr:cNvPr id="4" name="Chart 3">
          <a:extLst>
            <a:ext uri="{FF2B5EF4-FFF2-40B4-BE49-F238E27FC236}">
              <a16:creationId xmlns:a16="http://schemas.microsoft.com/office/drawing/2014/main" id="{0A387165-3107-319E-7C7E-CB268D9A0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538731</xdr:colOff>
      <xdr:row>18</xdr:row>
      <xdr:rowOff>243495</xdr:rowOff>
    </xdr:from>
    <xdr:to>
      <xdr:col>9</xdr:col>
      <xdr:colOff>799003</xdr:colOff>
      <xdr:row>28</xdr:row>
      <xdr:rowOff>287553</xdr:rowOff>
    </xdr:to>
    <xdr:graphicFrame macro="">
      <xdr:nvGraphicFramePr>
        <xdr:cNvPr id="7" name="Chart 6">
          <a:extLst>
            <a:ext uri="{FF2B5EF4-FFF2-40B4-BE49-F238E27FC236}">
              <a16:creationId xmlns:a16="http://schemas.microsoft.com/office/drawing/2014/main" id="{F2783638-B595-2247-96C9-77D8EFB1F4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476250</xdr:colOff>
      <xdr:row>54</xdr:row>
      <xdr:rowOff>47625</xdr:rowOff>
    </xdr:from>
    <xdr:to>
      <xdr:col>4</xdr:col>
      <xdr:colOff>990600</xdr:colOff>
      <xdr:row>68</xdr:row>
      <xdr:rowOff>123825</xdr:rowOff>
    </xdr:to>
    <xdr:graphicFrame macro="">
      <xdr:nvGraphicFramePr>
        <xdr:cNvPr id="5" name="Chart 4">
          <a:extLst>
            <a:ext uri="{FF2B5EF4-FFF2-40B4-BE49-F238E27FC236}">
              <a16:creationId xmlns:a16="http://schemas.microsoft.com/office/drawing/2014/main" id="{E1C8D90F-426E-45E5-8054-B4A132B7CB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890587</xdr:colOff>
      <xdr:row>55</xdr:row>
      <xdr:rowOff>38100</xdr:rowOff>
    </xdr:from>
    <xdr:to>
      <xdr:col>11</xdr:col>
      <xdr:colOff>157162</xdr:colOff>
      <xdr:row>69</xdr:row>
      <xdr:rowOff>114300</xdr:rowOff>
    </xdr:to>
    <xdr:graphicFrame macro="">
      <xdr:nvGraphicFramePr>
        <xdr:cNvPr id="6" name="Chart 5">
          <a:extLst>
            <a:ext uri="{FF2B5EF4-FFF2-40B4-BE49-F238E27FC236}">
              <a16:creationId xmlns:a16="http://schemas.microsoft.com/office/drawing/2014/main" id="{2EC4523F-9657-489A-95BB-431BB2393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e/Downloads/Sample%20Calculation%20workbook%20(Fina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bizzwn\Documents\nBox\Monetized%20Environmental+Social%20Impact%20Metrics\JLD_metrics_v9.xlsx" TargetMode="External"/><Relationship Id="rId1" Type="http://schemas.openxmlformats.org/officeDocument/2006/relationships/externalLinkPath" Target="/Users/bizzwn/Documents/nBox/Monetized%20Environmental+Social%20Impact%20Metrics/JLD_metrics_v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ject Input"/>
      <sheetName val="Building IROI"/>
      <sheetName val="Benefits &amp; Costs, Once &amp; Yearly"/>
      <sheetName val="Sensitivity Analysis"/>
      <sheetName val="Scenario Analysis"/>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e1"/>
      <sheetName val="Table2"/>
      <sheetName val="System"/>
      <sheetName val="Table3"/>
      <sheetName val="Table3Tenuous"/>
      <sheetName val="References"/>
    </sheetNames>
    <sheetDataSet>
      <sheetData sheetId="0"/>
      <sheetData sheetId="1"/>
      <sheetData sheetId="2">
        <row r="9">
          <cell r="H9">
            <v>1340000</v>
          </cell>
        </row>
        <row r="12">
          <cell r="F12">
            <v>283.39999999999998</v>
          </cell>
          <cell r="I12">
            <v>0.98952513966480449</v>
          </cell>
        </row>
        <row r="13">
          <cell r="F13">
            <v>25.400000000000009</v>
          </cell>
        </row>
      </sheetData>
      <sheetData sheetId="3"/>
      <sheetData sheetId="4"/>
      <sheetData sheetId="5"/>
    </sheetDataSet>
  </externalBook>
</externalLink>
</file>

<file path=xl/persons/person.xml><?xml version="1.0" encoding="utf-8"?>
<personList xmlns="http://schemas.microsoft.com/office/spreadsheetml/2018/threadedcomments" xmlns:x="http://schemas.openxmlformats.org/spreadsheetml/2006/main">
  <person displayName="Loh Rui Xuan Carine" id="{47362EEA-BFCB-4E1B-BB84-C898777BF3DA}" userId="S::e0421128@u.nus.edu::53f28928-80fc-4273-8ad4-515bded87d49" providerId="AD"/>
  <person displayName="Liu Yunuo" id="{12582292-7F0E-4099-B530-9DBEF9EC0F9E}" userId="S::e0552217@u.nus.edu::2c355005-69fc-48ff-b095-4a1ce51fbda1" providerId="AD"/>
  <person displayName="Kha Lek Chong" id="{0F7C5DAB-DDC0-4089-9D1E-0308874889B7}" userId="S::e0564959@u.nus.edu::1aa22737-6ade-4bd8-9171-3826b72ebcd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6" dT="2023-10-27T08:15:44.65" personId="{47362EEA-BFCB-4E1B-BB84-C898777BF3DA}" id="{D7B9AB72-1099-FA45-BE77-ABF2718CAFBE}">
    <text>changed from kwp to kwh (1kwp = 1000kwh)</text>
  </threadedComment>
  <threadedComment ref="C18" dT="2023-10-27T08:23:12.83" personId="{47362EEA-BFCB-4E1B-BB84-C898777BF3DA}" id="{0FD2F163-C14B-5646-8A18-922B41E4C58A}">
    <text>=1.37*1300
previous calculation from yunuo^</text>
  </threadedComment>
  <threadedComment ref="B21" dT="2023-11-01T08:50:18.39" personId="{47362EEA-BFCB-4E1B-BB84-C898777BF3DA}" id="{27436643-34C3-3645-9625-91C48F719EB2}">
    <text>no info if this includes the operating cost of the pv and the units (to scale to our project)</text>
  </threadedComment>
  <threadedComment ref="A31" dT="2023-10-27T08:43:21.39" personId="{47362EEA-BFCB-4E1B-BB84-C898777BF3DA}" id="{D342F0E0-170A-C94A-BFD8-ECEB464A3542}">
    <text>remove either this or the rainwater harvesting tank cost below (currently we are using rainwater harvesting tank cost of 50)</text>
  </threadedComment>
  <threadedComment ref="A32" dT="2023-10-27T08:05:14.36" personId="{47362EEA-BFCB-4E1B-BB84-C898777BF3DA}" id="{FFB1F8BE-9397-1742-A89A-9F839E68BFAE}">
    <text xml:space="preserve">not needed anymore
</text>
  </threadedComment>
  <threadedComment ref="C56" dT="2023-10-26T16:17:28.77" personId="{47362EEA-BFCB-4E1B-BB84-C898777BF3DA}" id="{80C0B627-045F-E649-B795-20D52284992A}">
    <text xml:space="preserve">two different studies with varying calculation of mental health cost savings </text>
  </threadedComment>
  <threadedComment ref="A62" dT="2023-10-27T16:43:06.43" personId="{47362EEA-BFCB-4E1B-BB84-C898777BF3DA}" id="{5FE319C2-1A6D-2C49-845B-F9CC67FA81CC}">
    <text xml:space="preserve">but technically not all will be staying outside of campus
</text>
  </threadedComment>
  <threadedComment ref="A63" dT="2023-10-27T16:43:06.43" personId="{47362EEA-BFCB-4E1B-BB84-C898777BF3DA}" id="{06F8391D-27B7-CC4C-B8C3-A6BFC5F99EE5}">
    <text xml:space="preserve">but technically not all will be staying outside of campus
</text>
  </threadedComment>
  <threadedComment ref="D72" dT="2023-10-27T17:56:13.99" personId="{47362EEA-BFCB-4E1B-BB84-C898777BF3DA}" id="{DEE56529-F366-C94E-976D-6BC80447FF23}">
    <text>revisit this assumption, as our current bus system is quite efficient at connectiivty?</text>
  </threadedComment>
  <threadedComment ref="D93" dT="2023-10-27T18:14:38.55" personId="{47362EEA-BFCB-4E1B-BB84-C898777BF3DA}" id="{E572C1C7-A422-6347-B63F-F96C5B6DFEB4}">
    <text>to review the approriateness of using greenspace usage instd of public space.</text>
  </threadedComment>
</ThreadedComments>
</file>

<file path=xl/threadedComments/threadedComment2.xml><?xml version="1.0" encoding="utf-8"?>
<ThreadedComments xmlns="http://schemas.microsoft.com/office/spreadsheetml/2018/threadedcomments" xmlns:x="http://schemas.openxmlformats.org/spreadsheetml/2006/main">
  <threadedComment ref="P18" dT="2023-11-01T07:12:44.45" personId="{47362EEA-BFCB-4E1B-BB84-C898777BF3DA}" id="{8175B747-42D5-AB4E-9D73-FB946A06C1EA}">
    <text>edited: 
total reduction in energy demand(kwh/yr) * energy tarrif (sgd/kwh)
=(sgd per year)</text>
  </threadedComment>
  <threadedComment ref="L34" dT="2023-10-28T20:09:42.14" personId="{0F7C5DAB-DDC0-4089-9D1E-0308874889B7}" id="{94536EF1-6462-401E-AC0B-32BBB9D79008}">
    <text>Figured out why. Suggest not to use mortality coverage to proxy for health</text>
  </threadedComment>
  <threadedComment ref="P36" dT="2023-10-29T05:37:49.80" personId="{47362EEA-BFCB-4E1B-BB84-C898777BF3DA}" id="{7F2A6E2F-193A-204C-9315-5605502F17B5}">
    <text xml:space="preserve">assume 100% drive in a car with fewer than 2 pax and that students or staff go to school 5 times a week
</text>
  </threadedComment>
  <threadedComment ref="P38" dT="2023-10-27T18:03:03.17" personId="{47362EEA-BFCB-4E1B-BB84-C898777BF3DA}" id="{54016BA4-B883-B341-9C90-B9063036DB6A}">
    <text>looks abit low... connectivity assumption a bit low</text>
  </threadedComment>
  <threadedComment ref="J40" dT="2023-11-01T08:45:27.92" personId="{47362EEA-BFCB-4E1B-BB84-C898777BF3DA}" id="{FDF5275F-806D-A141-9F06-35692F4040A9}">
    <text>change to mw (peak)</text>
  </threadedComment>
</ThreadedComments>
</file>

<file path=xl/threadedComments/threadedComment3.xml><?xml version="1.0" encoding="utf-8"?>
<ThreadedComments xmlns="http://schemas.microsoft.com/office/spreadsheetml/2018/threadedcomments" xmlns:x="http://schemas.openxmlformats.org/spreadsheetml/2006/main">
  <threadedComment ref="E16" dT="2023-10-27T16:46:16.04" personId="{47362EEA-BFCB-4E1B-BB84-C898777BF3DA}" id="{58D09BE9-6BAF-4E4C-A66B-CA7FAEDD5100}">
    <text>might need to revisit this assumption due to new buildings (residential on campus)</text>
  </threadedComment>
  <threadedComment ref="A27" dT="2023-10-28T15:03:41.68" personId="{12582292-7F0E-4099-B530-9DBEF9EC0F9E}" id="{514C09E9-634E-499E-A7B9-A2BC3C46A751}">
    <text>new assumptions</text>
  </threadedComment>
  <threadedComment ref="B29" dT="2023-10-29T06:11:09.59" personId="{47362EEA-BFCB-4E1B-BB84-C898777BF3DA}" id="{BA59A802-4573-9749-9601-9D69491C76E0}">
    <text xml:space="preserve">how do we assume 1 hr a day </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ttainablehome.com/small-wind-turbines-are-they-affordable/https:/weatherguardwind.com/how-much-does-wind-turbine-cost-worth-it/" TargetMode="External"/><Relationship Id="rId18" Type="http://schemas.openxmlformats.org/officeDocument/2006/relationships/hyperlink" Target="https://bmcpublichealth.biomedcentral.com/articles/10.1186/s12889-021-11553-7" TargetMode="External"/><Relationship Id="rId26" Type="http://schemas.openxmlformats.org/officeDocument/2006/relationships/hyperlink" Target="https://bmcpublichealth.biomedcentral.com/articles/10.1186/s12889-021-11553-7" TargetMode="External"/><Relationship Id="rId39" Type="http://schemas.microsoft.com/office/2017/10/relationships/threadedComment" Target="../threadedComments/threadedComment1.xml"/><Relationship Id="rId21" Type="http://schemas.openxmlformats.org/officeDocument/2006/relationships/hyperlink" Target="https://www.owlshall.co.uk/guide/rainwater-harvesting/what-size-rainwater-tank-do-i-need/" TargetMode="External"/><Relationship Id="rId34" Type="http://schemas.openxmlformats.org/officeDocument/2006/relationships/hyperlink" Target="https://www.straitstimes.com/singapore/more-spore-residents-take-trains-and-buses-to-work-fewer-drive-to-the-office-population" TargetMode="External"/><Relationship Id="rId7" Type="http://schemas.openxmlformats.org/officeDocument/2006/relationships/hyperlink" Target="https://beta.pub.gov.sg/public/waterloop/water-price" TargetMode="External"/><Relationship Id="rId12" Type="http://schemas.openxmlformats.org/officeDocument/2006/relationships/hyperlink" Target="https://www.eia.gov/consumption/commercial/reports/2012/water/" TargetMode="External"/><Relationship Id="rId17" Type="http://schemas.openxmlformats.org/officeDocument/2006/relationships/hyperlink" Target="https://weatherguardwind.com/how-much-does-wind-turbine-cost-worth-it/" TargetMode="External"/><Relationship Id="rId25" Type="http://schemas.openxmlformats.org/officeDocument/2006/relationships/hyperlink" Target="https://www.ncbi.nlm.nih.gov/pmc/articles/PMC7802428/" TargetMode="External"/><Relationship Id="rId33" Type="http://schemas.openxmlformats.org/officeDocument/2006/relationships/hyperlink" Target="https://www.sciencedirect.com/science/article/pii/S2090447921004573" TargetMode="External"/><Relationship Id="rId38" Type="http://schemas.openxmlformats.org/officeDocument/2006/relationships/comments" Target="../comments1.xml"/><Relationship Id="rId2" Type="http://schemas.openxmlformats.org/officeDocument/2006/relationships/hyperlink" Target="https://www.solar-repository.sg/pv-adoption-in-singapore" TargetMode="External"/><Relationship Id="rId16" Type="http://schemas.openxmlformats.org/officeDocument/2006/relationships/hyperlink" Target="https://cyclingsolutions.info/cost-benefit-of-cycling-infrastructure/" TargetMode="External"/><Relationship Id="rId20" Type="http://schemas.openxmlformats.org/officeDocument/2006/relationships/hyperlink" Target="https://www.cnbc.com/2022/08/30/this-is-how-much-you-should-exercise-to-achieve-the-maximum-benefit.html" TargetMode="External"/><Relationship Id="rId29" Type="http://schemas.openxmlformats.org/officeDocument/2006/relationships/hyperlink" Target="https://www.chaitanyaproducts.com/blog/rainwater-harvesting-tanks-everything-you-need-to-know/" TargetMode="External"/><Relationship Id="rId1" Type="http://schemas.openxmlformats.org/officeDocument/2006/relationships/hyperlink" Target="https://www.solar-repository.sg/pv-adoption-in-singapore" TargetMode="External"/><Relationship Id="rId6" Type="http://schemas.openxmlformats.org/officeDocument/2006/relationships/hyperlink" Target="https://www.ncbi.nlm.nih.gov/pmc/articles/PMC9819363/" TargetMode="External"/><Relationship Id="rId11" Type="http://schemas.openxmlformats.org/officeDocument/2006/relationships/hyperlink" Target="https://land8.com/how-bishan-park-became-the-central-park-of-singapore/" TargetMode="External"/><Relationship Id="rId24" Type="http://schemas.openxmlformats.org/officeDocument/2006/relationships/hyperlink" Target="https://cyclingsolutions.info/cost-benefit-of-cycling-infrastructure/" TargetMode="External"/><Relationship Id="rId32" Type="http://schemas.openxmlformats.org/officeDocument/2006/relationships/hyperlink" Target="https://doi.org/10.1016/j.amepre.2004.10.018" TargetMode="External"/><Relationship Id="rId37" Type="http://schemas.openxmlformats.org/officeDocument/2006/relationships/vmlDrawing" Target="../drawings/vmlDrawing1.vml"/><Relationship Id="rId5" Type="http://schemas.openxmlformats.org/officeDocument/2006/relationships/hyperlink" Target="https://www.sciencedirect.com/science/article/pii/S0013935119304840" TargetMode="External"/><Relationship Id="rId15" Type="http://schemas.openxmlformats.org/officeDocument/2006/relationships/hyperlink" Target="https://cyclingsolutions.info/cost-benefit-of-cycling-infrastructure/" TargetMode="External"/><Relationship Id="rId23" Type="http://schemas.openxmlformats.org/officeDocument/2006/relationships/hyperlink" Target="https://www.rand.org/pubs/research_reports/RR4291.html" TargetMode="External"/><Relationship Id="rId28" Type="http://schemas.openxmlformats.org/officeDocument/2006/relationships/hyperlink" Target="https://www.harvestingrainwater.com/wp-content/uploads/Appendix3Calculations.pdf" TargetMode="External"/><Relationship Id="rId36" Type="http://schemas.openxmlformats.org/officeDocument/2006/relationships/hyperlink" Target="https://www.rbnz.govt.nz/monetary-policy/about-monetary-policy/inflation-calculator" TargetMode="External"/><Relationship Id="rId10" Type="http://schemas.openxmlformats.org/officeDocument/2006/relationships/hyperlink" Target="https://www.singstat.gov.sg/find-data/search-by-theme/economy/national-accounts/latest-data" TargetMode="External"/><Relationship Id="rId19" Type="http://schemas.openxmlformats.org/officeDocument/2006/relationships/hyperlink" Target="https://ajph.aphapublications.org/doi/full/10.2105/AJPH.2005.072447" TargetMode="External"/><Relationship Id="rId31" Type="http://schemas.openxmlformats.org/officeDocument/2006/relationships/hyperlink" Target="https://www.nrel.gov/docs/fy19osti/67821.pdf" TargetMode="External"/><Relationship Id="rId4" Type="http://schemas.openxmlformats.org/officeDocument/2006/relationships/hyperlink" Target="https://pubs.acs.org/doi/10.1021/acs.est.5b06125" TargetMode="External"/><Relationship Id="rId9" Type="http://schemas.openxmlformats.org/officeDocument/2006/relationships/hyperlink" Target="https://www.ncbi.nlm.nih.gov/pmc/articles/PMC8318969/" TargetMode="External"/><Relationship Id="rId14" Type="http://schemas.openxmlformats.org/officeDocument/2006/relationships/hyperlink" Target="https://finance.yahoo.com/quote/DKKSGD=X/" TargetMode="External"/><Relationship Id="rId22" Type="http://schemas.openxmlformats.org/officeDocument/2006/relationships/hyperlink" Target="https://www.hcamag.com/au/specialisation/employee-engagement/happiness-linked-to-increased-productivity-in-study/438382" TargetMode="External"/><Relationship Id="rId27" Type="http://schemas.openxmlformats.org/officeDocument/2006/relationships/hyperlink" Target="https://www.weather.gov.sg/wp-content/uploads/2023/03/ACAR_2022.pdf" TargetMode="External"/><Relationship Id="rId30" Type="http://schemas.openxmlformats.org/officeDocument/2006/relationships/hyperlink" Target="https://getsolar.ai/blog/solar-financial-incentives-singapore-2/" TargetMode="External"/><Relationship Id="rId35" Type="http://schemas.openxmlformats.org/officeDocument/2006/relationships/hyperlink" Target="https://www.straitstimes.com/singapore/homeground-so-many-leisure-cyclists-what-will-nudge-more-to-cycle-to-work" TargetMode="External"/><Relationship Id="rId8" Type="http://schemas.openxmlformats.org/officeDocument/2006/relationships/hyperlink" Target="https://finance.yahoo.com/quote/SGDUSD=X/?guccounter=1" TargetMode="External"/><Relationship Id="rId3" Type="http://schemas.openxmlformats.org/officeDocument/2006/relationships/hyperlink" Target="https://www.spgroup.com.sg/our-services/utilities/tariff-information"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https://www.nea.gov.sg/our-services/climate-change-energy-efficiency/climate-change/carbon-tax" TargetMode="External"/><Relationship Id="rId7" Type="http://schemas.microsoft.com/office/2017/10/relationships/threadedComment" Target="../threadedComments/threadedComment3.xml"/><Relationship Id="rId2" Type="http://schemas.openxmlformats.org/officeDocument/2006/relationships/hyperlink" Target="https://www.nea.gov.sg/our-services/climate-change-energy-efficiency/climate-change/carbon-tax" TargetMode="External"/><Relationship Id="rId1" Type="http://schemas.openxmlformats.org/officeDocument/2006/relationships/hyperlink" Target="https://uci.nus.edu.sg/wp-content/uploads/2019/12/FA_190419_INOUT2Aug2019.pdf"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8" Type="http://schemas.openxmlformats.org/officeDocument/2006/relationships/hyperlink" Target="https://www.ura.gov.sg/Corporate/Media-Room/Media-Releases/pr23-02" TargetMode="External"/><Relationship Id="rId13" Type="http://schemas.openxmlformats.org/officeDocument/2006/relationships/hyperlink" Target="https://sunpower.maxeon.com/int/sites/default/files/2022-03/sp_max6_66c_blk_res_ac_ds_en_0.pdf" TargetMode="External"/><Relationship Id="rId18" Type="http://schemas.openxmlformats.org/officeDocument/2006/relationships/hyperlink" Target="https://www.ema.gov.sg/resources/singapore-energy-statistics/chapter2" TargetMode="External"/><Relationship Id="rId3" Type="http://schemas.openxmlformats.org/officeDocument/2006/relationships/hyperlink" Target="https://www.solar-repository.sg/pv-adoption-in-singapore" TargetMode="External"/><Relationship Id="rId21" Type="http://schemas.openxmlformats.org/officeDocument/2006/relationships/hyperlink" Target="https://ugl.sg/wp-content/uploads/2020/07/perspectives-on-five-decades-of-the-urban-greening-of-singapore.pdf" TargetMode="External"/><Relationship Id="rId7" Type="http://schemas.openxmlformats.org/officeDocument/2006/relationships/hyperlink" Target="https://www.retalkasia.com/news/2022/11/30/companies-are-paying-more-rent-space-asia%E2%80%99s-green-buildings-jll-study/1669766876" TargetMode="External"/><Relationship Id="rId12" Type="http://schemas.openxmlformats.org/officeDocument/2006/relationships/hyperlink" Target="https://sunpower.maxeon.com/int/sites/default/files/2022-03/sp_max6_66c_blk_res_ac_ds_en_0.pdf" TargetMode="External"/><Relationship Id="rId17" Type="http://schemas.openxmlformats.org/officeDocument/2006/relationships/hyperlink" Target="https://www1.bca.gov.sg/docs/default-source/docs-corp-buildsg/sustainability/20210909_-carbon-technical-guide_r1.pdf" TargetMode="External"/><Relationship Id="rId2" Type="http://schemas.openxmlformats.org/officeDocument/2006/relationships/hyperlink" Target="https://beta.pub.gov.sg/Public/WaterLoop/Water-Price" TargetMode="External"/><Relationship Id="rId16" Type="http://schemas.openxmlformats.org/officeDocument/2006/relationships/hyperlink" Target="https://www1.bca.gov.sg/docs/default-source/docs-corp-buildsg/sustainability/20210909_-carbon-technical-guide_r1.pdf" TargetMode="External"/><Relationship Id="rId20" Type="http://schemas.openxmlformats.org/officeDocument/2006/relationships/hyperlink" Target="https://www.nparks.gov.sg/gardens-parks-and-nature/parks-and-nature-reserves/bishan---ang-mo-kio-park" TargetMode="External"/><Relationship Id="rId1" Type="http://schemas.openxmlformats.org/officeDocument/2006/relationships/hyperlink" Target="https://data.worldbank.org/indicator/FP.CPI.TOTL.ZG?end=2022&amp;locations=SG&amp;start=1961&amp;view=chart" TargetMode="External"/><Relationship Id="rId6" Type="http://schemas.openxmlformats.org/officeDocument/2006/relationships/hyperlink" Target="https://www.solar-repository.sg/pv-adoption-in-singapore" TargetMode="External"/><Relationship Id="rId11" Type="http://schemas.openxmlformats.org/officeDocument/2006/relationships/hyperlink" Target="https://unionpower.com.sg/guide-to-solar-pv-system-2/" TargetMode="External"/><Relationship Id="rId5" Type="http://schemas.openxmlformats.org/officeDocument/2006/relationships/hyperlink" Target="https://www.solar-repository.sg/pv-adoption-in-singapore" TargetMode="External"/><Relationship Id="rId15" Type="http://schemas.openxmlformats.org/officeDocument/2006/relationships/hyperlink" Target="https://www1.bca.gov.sg/docs/default-source/docs-corp-buildsg/sustainability/20210909_-carbon-technical-guide_r1.pdf" TargetMode="External"/><Relationship Id="rId23" Type="http://schemas.openxmlformats.org/officeDocument/2006/relationships/printerSettings" Target="../printerSettings/printerSettings6.bin"/><Relationship Id="rId10" Type="http://schemas.openxmlformats.org/officeDocument/2006/relationships/hyperlink" Target="https://link.springer.com/article/10.1007/s11269-011-9883-1" TargetMode="External"/><Relationship Id="rId19" Type="http://schemas.openxmlformats.org/officeDocument/2006/relationships/hyperlink" Target="https://www.ema.gov.sg/resources/statistics/average-monthly-uniform-singapore-energy-price" TargetMode="External"/><Relationship Id="rId4" Type="http://schemas.openxmlformats.org/officeDocument/2006/relationships/hyperlink" Target="https://www.solar-repository.sg/pv-adoption-in-singapore" TargetMode="External"/><Relationship Id="rId9" Type="http://schemas.openxmlformats.org/officeDocument/2006/relationships/hyperlink" Target="https://www.sciencedirect.com/science/article/abs/pii/S0048969718316176?fr=RR-2&amp;ref=pdf_download&amp;rr=80a8dbd31da3407f" TargetMode="External"/><Relationship Id="rId14" Type="http://schemas.openxmlformats.org/officeDocument/2006/relationships/hyperlink" Target="https://www.eia.gov/consumption/commercial/reports/2012/water/" TargetMode="External"/><Relationship Id="rId22" Type="http://schemas.openxmlformats.org/officeDocument/2006/relationships/hyperlink" Target="https://www.singstat.gov.sg/-/media/files/publications/population/population2022.ashx"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s://www.jandonline.org/article/S2212-2672(14)00232-9/fulltext" TargetMode="External"/><Relationship Id="rId21" Type="http://schemas.openxmlformats.org/officeDocument/2006/relationships/hyperlink" Target="https://link.springer.com/article/10.1007/s11269-015-1040-9" TargetMode="External"/><Relationship Id="rId42" Type="http://schemas.openxmlformats.org/officeDocument/2006/relationships/hyperlink" Target="https://stats.mom.gov.sg/Pages/Labour-Force-Summary-Table.aspx" TargetMode="External"/><Relationship Id="rId47" Type="http://schemas.openxmlformats.org/officeDocument/2006/relationships/hyperlink" Target="https://www.sciencedirect.com/science/article/abs/pii/S0360132319301611" TargetMode="External"/><Relationship Id="rId63" Type="http://schemas.openxmlformats.org/officeDocument/2006/relationships/hyperlink" Target="https://www.mdpi.com/1996-1073/13/14/3650/pdf" TargetMode="External"/><Relationship Id="rId68" Type="http://schemas.openxmlformats.org/officeDocument/2006/relationships/hyperlink" Target="https://www.ema.gov.sg/singapore-energy-statistics/Ch05/index5" TargetMode="External"/><Relationship Id="rId84" Type="http://schemas.openxmlformats.org/officeDocument/2006/relationships/hyperlink" Target="https://blog.moneysmart.sg/budgeting/cpf-life-payout-plan-minimum-sum/" TargetMode="External"/><Relationship Id="rId89" Type="http://schemas.openxmlformats.org/officeDocument/2006/relationships/hyperlink" Target="https://www.pub.gov.sg/sites/assets/PressReleaseDocuments/HH%20Water%20Consumption%20Study%20-%20Annex.pdf" TargetMode="External"/><Relationship Id="rId16" Type="http://schemas.openxmlformats.org/officeDocument/2006/relationships/hyperlink" Target="https://doi.org/10.1016/j.ufug.2022.127475" TargetMode="External"/><Relationship Id="rId11" Type="http://schemas.openxmlformats.org/officeDocument/2006/relationships/hyperlink" Target="https://cdn-cms.pgimgs.com/static/2022/02/singapore-property-market-report-q1-2022-powered-by-propertyguru-datasense_PR.pdf" TargetMode="External"/><Relationship Id="rId32" Type="http://schemas.openxmlformats.org/officeDocument/2006/relationships/hyperlink" Target="https://www.nparks.gov.sg/sbg/research/publications/gardens-bulletin-singapore/-/media/sbg/gardens-bulletin/gbs_63_01,-a-,02_y2011_v63_01,-a-,02/63_01,-a-,02_205_y2011_v63p1,-a-,p2_gbs_pg_205.pdf" TargetMode="External"/><Relationship Id="rId37" Type="http://schemas.openxmlformats.org/officeDocument/2006/relationships/hyperlink" Target="https://www.imh.com.sg/Patients-and-Visitors/Pages/Hospital-Charges-and-Financial-Schemes.aspx" TargetMode="External"/><Relationship Id="rId53" Type="http://schemas.openxmlformats.org/officeDocument/2006/relationships/hyperlink" Target="https://www.todayonline.com/singapore/funan-malls-s560m-hipster-makeover-pleases-some-others-miss-old-place" TargetMode="External"/><Relationship Id="rId58" Type="http://schemas.openxmlformats.org/officeDocument/2006/relationships/hyperlink" Target="https://www.ema.gov.sg/media_release.aspx?news_sid=20211025JxngSPJ9UClo" TargetMode="External"/><Relationship Id="rId74" Type="http://schemas.openxmlformats.org/officeDocument/2006/relationships/hyperlink" Target="https://www.nccs.gov.sg/singapores-climate-action/singapore-emissions-profile/" TargetMode="External"/><Relationship Id="rId79" Type="http://schemas.openxmlformats.org/officeDocument/2006/relationships/hyperlink" Target="https://ig.ft.com/special-reports/health-work/2019/" TargetMode="External"/><Relationship Id="rId5" Type="http://schemas.openxmlformats.org/officeDocument/2006/relationships/hyperlink" Target="https://papneesoon.sg/2019/02/27/make-every-class-good-class-away-streaming/" TargetMode="External"/><Relationship Id="rId90" Type="http://schemas.openxmlformats.org/officeDocument/2006/relationships/hyperlink" Target="https://www.sciencedirect.com/science/article/pii/S2090447921004573" TargetMode="External"/><Relationship Id="rId95" Type="http://schemas.openxmlformats.org/officeDocument/2006/relationships/hyperlink" Target="https://www.xe.com/currencyconverter/convert/?Amount=1&amp;From=GBP&amp;To=SGD" TargetMode="External"/><Relationship Id="rId22" Type="http://schemas.openxmlformats.org/officeDocument/2006/relationships/hyperlink" Target="https://www.rainharvest.com/more/MastersProjectRainHarvest_200805.pdf" TargetMode="External"/><Relationship Id="rId27" Type="http://schemas.openxmlformats.org/officeDocument/2006/relationships/hyperlink" Target="https://www.valuechampion.sg/average-household-budget-singapore" TargetMode="External"/><Relationship Id="rId43" Type="http://schemas.openxmlformats.org/officeDocument/2006/relationships/hyperlink" Target="https://data.gov.sg/dataset/average-days-of-sick-leave-taken-by-employees" TargetMode="External"/><Relationship Id="rId48" Type="http://schemas.openxmlformats.org/officeDocument/2006/relationships/hyperlink" Target="https://documents1.worldbank.org/curated/en/202401605153894060/World-The-Global-Cost-of-Ambient-PM2-5-Air-Pollution.pdf" TargetMode="External"/><Relationship Id="rId64" Type="http://schemas.openxmlformats.org/officeDocument/2006/relationships/hyperlink" Target="https://futurecitiesenviro.springeropen.com/articles/10.1186/s40984-016-0024-0" TargetMode="External"/><Relationship Id="rId69" Type="http://schemas.openxmlformats.org/officeDocument/2006/relationships/hyperlink" Target="https://www.nea.gov.sg/media/news/news/index/2021-is-singapore-s-second-wettest-year-since-1980" TargetMode="External"/><Relationship Id="rId80" Type="http://schemas.openxmlformats.org/officeDocument/2006/relationships/hyperlink" Target="https://www.ncbi.nlm.nih.gov/pmc/articles/PMC1924649/" TargetMode="External"/><Relationship Id="rId85" Type="http://schemas.openxmlformats.org/officeDocument/2006/relationships/hyperlink" Target="https://jech.bmj.com/content/jech/60/7/587.full.pdf" TargetMode="External"/><Relationship Id="rId12" Type="http://schemas.openxmlformats.org/officeDocument/2006/relationships/hyperlink" Target="https://www.stb.gov.sg/content/stb/en/trade-events-and-resources/jld-tourism-development.html" TargetMode="External"/><Relationship Id="rId17" Type="http://schemas.openxmlformats.org/officeDocument/2006/relationships/hyperlink" Target="https://www.pub.gov.sg/watersupply/waterprice" TargetMode="External"/><Relationship Id="rId25" Type="http://schemas.openxmlformats.org/officeDocument/2006/relationships/hyperlink" Target="https://www.nature.com/articles/s41467-018-07833-3" TargetMode="External"/><Relationship Id="rId33" Type="http://schemas.openxmlformats.org/officeDocument/2006/relationships/hyperlink" Target="https://academic.oup.com/jue/article/7/1/juab020/6324276" TargetMode="External"/><Relationship Id="rId38" Type="http://schemas.openxmlformats.org/officeDocument/2006/relationships/hyperlink" Target="https://www.channelnewsasia.com/singapore/mental-health-treatment-depression-suicide-2285051" TargetMode="External"/><Relationship Id="rId46" Type="http://schemas.openxmlformats.org/officeDocument/2006/relationships/hyperlink" Target="https://www.imh.com.sg/Research/Research-Programmes/Pages/Singapore-Mental-Health-Study-SMHS-2016.aspx" TargetMode="External"/><Relationship Id="rId59" Type="http://schemas.openxmlformats.org/officeDocument/2006/relationships/hyperlink" Target="https://www.spgroup.com.sg/wcm/connect/spgrp/e9cb79d1-86ea-462f-a69b-c617a6817724/Taking+The+Heat+Off+Cooling+-+A+Greener+Way+to+Cool.pdf?MOD=AJPERES" TargetMode="External"/><Relationship Id="rId67" Type="http://schemas.openxmlformats.org/officeDocument/2006/relationships/hyperlink" Target="https://www.districtenergyaward.org/wp-content/uploads/2012/10/District_cooling_Singapore_2011.pdf" TargetMode="External"/><Relationship Id="rId20" Type="http://schemas.openxmlformats.org/officeDocument/2006/relationships/hyperlink" Target="https://www.icevirtuallibrary.com/doi/10.1680/ensu.2005.158.3.155" TargetMode="External"/><Relationship Id="rId41" Type="http://schemas.openxmlformats.org/officeDocument/2006/relationships/hyperlink" Target="https://hbr.org/2004/10/presenteeism-at-work-but-out-of-it" TargetMode="External"/><Relationship Id="rId54" Type="http://schemas.openxmlformats.org/officeDocument/2006/relationships/hyperlink" Target="https://www.channelnewsasia.com/cnainsider/how-badly-climate-change-floods-drought-could-affect-singapore-846286" TargetMode="External"/><Relationship Id="rId62" Type="http://schemas.openxmlformats.org/officeDocument/2006/relationships/hyperlink" Target="https://www.ntu.edu.sg/docs/librariesprovider60/publications/ess-technology-roadmap-singapore.pdf?sfvrsn=c91c9ae8_2" TargetMode="External"/><Relationship Id="rId70" Type="http://schemas.openxmlformats.org/officeDocument/2006/relationships/hyperlink" Target="https://www.imf.org/Publications/fandd/issues/2019/12/the-true-cost-of-reducing-greenhouse-gas-emissions-gillingham" TargetMode="External"/><Relationship Id="rId75" Type="http://schemas.openxmlformats.org/officeDocument/2006/relationships/hyperlink" Target="https://www.nccs.gov.sg/singapores-climate-action/carbon-tax/" TargetMode="External"/><Relationship Id="rId83" Type="http://schemas.openxmlformats.org/officeDocument/2006/relationships/hyperlink" Target="https://www.straitstimes.com/singapore/budget-2022-singapore-to-raise-gst-from-7-to-9-in-two-stages-in-2023-and-2024" TargetMode="External"/><Relationship Id="rId88" Type="http://schemas.openxmlformats.org/officeDocument/2006/relationships/hyperlink" Target="https://www.straitstimes.com/singapore/spore-population-better-educated-across-age-ethnicity-women-make-greater-strides" TargetMode="External"/><Relationship Id="rId91" Type="http://schemas.openxmlformats.org/officeDocument/2006/relationships/hyperlink" Target="https://www.singstat.gov.sg/find-data/search-by-theme/economy/national-accounts/latest-data" TargetMode="External"/><Relationship Id="rId96" Type="http://schemas.openxmlformats.org/officeDocument/2006/relationships/hyperlink" Target="https://www.xe.com/currencyconverter/convert/?Amount=1&amp;From=AUD&amp;To=SGD" TargetMode="External"/><Relationship Id="rId1" Type="http://schemas.openxmlformats.org/officeDocument/2006/relationships/hyperlink" Target="https://data.worldbank.org/indicator/FP.CPI.TOTL.ZG?locations=SG" TargetMode="External"/><Relationship Id="rId6" Type="http://schemas.openxmlformats.org/officeDocument/2006/relationships/hyperlink" Target="https://www.population.gov.sg/files/media-centre/publications/Population-in-brief-2021.pdf" TargetMode="External"/><Relationship Id="rId15" Type="http://schemas.openxmlformats.org/officeDocument/2006/relationships/hyperlink" Target="https://doi.org/10.1061/(asce)0733-947x(1986)112:3(229)" TargetMode="External"/><Relationship Id="rId23" Type="http://schemas.openxmlformats.org/officeDocument/2006/relationships/hyperlink" Target="https://www.singstat.gov.sg/find-data/search-by-theme/society/environment/latest-data" TargetMode="External"/><Relationship Id="rId28" Type="http://schemas.openxmlformats.org/officeDocument/2006/relationships/hyperlink" Target="https://investor.capitaland.com/newsroom/20210224_060919_C31_TB0SDQJLSAXAMNDK.4.pdf" TargetMode="External"/><Relationship Id="rId36" Type="http://schemas.openxmlformats.org/officeDocument/2006/relationships/hyperlink" Target="https://www.mdpi.com/1660-4601/17/11/4142" TargetMode="External"/><Relationship Id="rId49" Type="http://schemas.openxmlformats.org/officeDocument/2006/relationships/hyperlink" Target="https://www.sciencedirect.com/science/article/pii/S1674927821001076?via%3Dihub" TargetMode="External"/><Relationship Id="rId57" Type="http://schemas.openxmlformats.org/officeDocument/2006/relationships/hyperlink" Target="https://www.spgroup.com.sg/wcm/connect/spgrp/e0b9800a-c39b-4f41-8664-2bbe8e2ca826/Historical%2BElectricity%2BTariff_Oct+18%28w+GST%29.xls?MOD=AJPERES" TargetMode="External"/><Relationship Id="rId10" Type="http://schemas.openxmlformats.org/officeDocument/2006/relationships/hyperlink" Target="https://www.singstat.gov.sg/-/media/files/publications/population/population2021.ashx" TargetMode="External"/><Relationship Id="rId31" Type="http://schemas.openxmlformats.org/officeDocument/2006/relationships/hyperlink" Target="https://www.nparks.gov.sg/-/media/nparks-real-content/gardens-parks-and-nature/diy-walk/diy-walk-pdf-files/bishan-amk-park.ashx" TargetMode="External"/><Relationship Id="rId44" Type="http://schemas.openxmlformats.org/officeDocument/2006/relationships/hyperlink" Target="https://www.oecd.org/environment/the-economic-consequences-of-outdoor-air-pollution-9789264257474-en.htm" TargetMode="External"/><Relationship Id="rId52" Type="http://schemas.openxmlformats.org/officeDocument/2006/relationships/hyperlink" Target="https://www.victoriawalks.org.au/Assets/Files/The-Economic-Case-for-Investment-in-Walking-FINAL.pdf" TargetMode="External"/><Relationship Id="rId60" Type="http://schemas.openxmlformats.org/officeDocument/2006/relationships/hyperlink" Target="https://www.ema.gov.sg/cmsmedia/News/Media%20Release/2020/Media-Release-Energy-Storage-Solutions-Deployed-in-Singapore.pdf" TargetMode="External"/><Relationship Id="rId65" Type="http://schemas.openxmlformats.org/officeDocument/2006/relationships/hyperlink" Target="https://www.koreatimes.co.kr/www/tech/2018/12/133_260560.html" TargetMode="External"/><Relationship Id="rId73" Type="http://schemas.openxmlformats.org/officeDocument/2006/relationships/hyperlink" Target="https://unfccc.int/sites/default/files/NDC/2022-06/Singapore%27s%20Update%20of%201st%20NDC.pdf" TargetMode="External"/><Relationship Id="rId78" Type="http://schemas.openxmlformats.org/officeDocument/2006/relationships/hyperlink" Target="https://www.fao.org/faostat/en/" TargetMode="External"/><Relationship Id="rId81" Type="http://schemas.openxmlformats.org/officeDocument/2006/relationships/hyperlink" Target="https://www.valuechampion.sg/average-cost-housing-singapore" TargetMode="External"/><Relationship Id="rId86" Type="http://schemas.openxmlformats.org/officeDocument/2006/relationships/hyperlink" Target="https://stats.mom.gov.sg/Pages/Income-Summary-Table.aspx" TargetMode="External"/><Relationship Id="rId94" Type="http://schemas.openxmlformats.org/officeDocument/2006/relationships/hyperlink" Target="https://www.xe.com/currencyconverter/convert/?Amount=1&amp;From=USD&amp;To=SGD" TargetMode="External"/><Relationship Id="rId99" Type="http://schemas.openxmlformats.org/officeDocument/2006/relationships/hyperlink" Target="http://littlechillipadi89.blogspot.com/2013/08/hdb-construction-costs-revealed.html" TargetMode="External"/><Relationship Id="rId101" Type="http://schemas.openxmlformats.org/officeDocument/2006/relationships/printerSettings" Target="../printerSettings/printerSettings7.bin"/><Relationship Id="rId4" Type="http://schemas.openxmlformats.org/officeDocument/2006/relationships/hyperlink" Target="https://www-tandfonline-com.libproxy1.nus.edu.sg/doi/pdf/10.1080/03075070802211810?needAccess=true" TargetMode="External"/><Relationship Id="rId9" Type="http://schemas.openxmlformats.org/officeDocument/2006/relationships/hyperlink" Target="https://www.singstat.gov.sg/find-data/search-by-theme/population/population-and-population-structure/latest-data" TargetMode="External"/><Relationship Id="rId13" Type="http://schemas.openxmlformats.org/officeDocument/2006/relationships/hyperlink" Target="https://www.bca.gov.sg/GreenMark/others/ggenergy.pdf" TargetMode="External"/><Relationship Id="rId18" Type="http://schemas.openxmlformats.org/officeDocument/2006/relationships/hyperlink" Target="https://www.awa.asn.au/resources/latest-news/community/engagement/why-building-water-literacy-is-more-important-than-ever" TargetMode="External"/><Relationship Id="rId39" Type="http://schemas.openxmlformats.org/officeDocument/2006/relationships/hyperlink" Target="https://www.tandfonline.com/doi/full/10.1080/09638237.2021.1952958" TargetMode="External"/><Relationship Id="rId34" Type="http://schemas.openxmlformats.org/officeDocument/2006/relationships/hyperlink" Target="https://www.tre.wa.gov/wp-content/uploads/Willhite.pdf" TargetMode="External"/><Relationship Id="rId50" Type="http://schemas.openxmlformats.org/officeDocument/2006/relationships/hyperlink" Target="https://globaldatalab.org/shdi/shdi/AUS/?levels=1%2B4&amp;interpolation=1&amp;extrapolation=0&amp;nearest_real=0&amp;years=2019" TargetMode="External"/><Relationship Id="rId55" Type="http://schemas.openxmlformats.org/officeDocument/2006/relationships/hyperlink" Target="https://www.straitstimes.com/opinion/flood-damage-counting-the-cost" TargetMode="External"/><Relationship Id="rId76" Type="http://schemas.openxmlformats.org/officeDocument/2006/relationships/hyperlink" Target="https://media.arcadis.com/-/media/project/arcadiscom/com/perspectives/asia/publications/cch/2022/singapore-construction-cost-handbook-2022.pdf?rev=842b76624b8c40a0affc61f99debde9f" TargetMode="External"/><Relationship Id="rId97" Type="http://schemas.openxmlformats.org/officeDocument/2006/relationships/hyperlink" Target="https://web-material3.yokogawa.com/suc-TUASen.pdf" TargetMode="External"/><Relationship Id="rId7" Type="http://schemas.openxmlformats.org/officeDocument/2006/relationships/hyperlink" Target="https://data.worldbank.org/indicator/SP.POP.GROW?locations=SG&amp;start=2010" TargetMode="External"/><Relationship Id="rId71" Type="http://schemas.openxmlformats.org/officeDocument/2006/relationships/hyperlink" Target="https://ifarm.fi/blog/2020/12/how-much-electricity-does-a-vertical-farm-consume" TargetMode="External"/><Relationship Id="rId92" Type="http://schemas.openxmlformats.org/officeDocument/2006/relationships/hyperlink" Target="https://www.straitstimes.com/singapore/budget-2022-healthcare-spending-to-form-bulk-of-govt-expenditure-by-2030" TargetMode="External"/><Relationship Id="rId2" Type="http://schemas.openxmlformats.org/officeDocument/2006/relationships/hyperlink" Target="https://www.mas.gov.sg/bonds-and-bills/SGS-Bond-Statistics" TargetMode="External"/><Relationship Id="rId29" Type="http://schemas.openxmlformats.org/officeDocument/2006/relationships/hyperlink" Target="https://www.tandfonline.com/doi/abs/10.22300/1949-8276.11.1.191" TargetMode="External"/><Relationship Id="rId24" Type="http://schemas.openxmlformats.org/officeDocument/2006/relationships/hyperlink" Target="https://ww3.rics.org/uk/en/modus/natural-environment/land/out-of-the-deep--7-massive-land-reclamation-projects--.html" TargetMode="External"/><Relationship Id="rId40" Type="http://schemas.openxmlformats.org/officeDocument/2006/relationships/hyperlink" Target="https://www.moh.gov.sg/docs/librariesprovider5/default-document-library/nphs-2020-survey-report.pdf" TargetMode="External"/><Relationship Id="rId45" Type="http://schemas.openxmlformats.org/officeDocument/2006/relationships/hyperlink" Target="https://www.graduateinstitute.ch/sites/internet/files/2021-04/HHW_2020.pdf" TargetMode="External"/><Relationship Id="rId66" Type="http://schemas.openxmlformats.org/officeDocument/2006/relationships/hyperlink" Target="https://www.sciencedirect.com/science/article/pii/S0306261917313351" TargetMode="External"/><Relationship Id="rId87" Type="http://schemas.openxmlformats.org/officeDocument/2006/relationships/hyperlink" Target="https://www.mse.gov.sg/policies/water" TargetMode="External"/><Relationship Id="rId61" Type="http://schemas.openxmlformats.org/officeDocument/2006/relationships/hyperlink" Target="https://res.mdpi.com/d_attachment/energies/energies-13-03307/article_deploy/energies-13-03307-v2.pdf" TargetMode="External"/><Relationship Id="rId82" Type="http://schemas.openxmlformats.org/officeDocument/2006/relationships/hyperlink" Target="https://www.reuters.com/article/singapore-agriculture-idUSL5N22X24Z" TargetMode="External"/><Relationship Id="rId19" Type="http://schemas.openxmlformats.org/officeDocument/2006/relationships/hyperlink" Target="https://awwa.onlinelibrary.wiley.com/doi/10.5942/jawwa.2015.107.0124" TargetMode="External"/><Relationship Id="rId14" Type="http://schemas.openxmlformats.org/officeDocument/2006/relationships/hyperlink" Target="https://www.propertyguru.com.sg/property-management-news/2018/04/171198/homes-near-green-spaces-fetch-higher-prices-study" TargetMode="External"/><Relationship Id="rId30" Type="http://schemas.openxmlformats.org/officeDocument/2006/relationships/hyperlink" Target="https://agfundernews.com/the-economics-of-local-vertical-and-greenhouse-farming-are-getting-competitive" TargetMode="External"/><Relationship Id="rId35" Type="http://schemas.openxmlformats.org/officeDocument/2006/relationships/hyperlink" Target="https://sph.nus.edu.sg/2017/06/singapore-incurs-third-highest-obesity-costs-in-the-region/" TargetMode="External"/><Relationship Id="rId56" Type="http://schemas.openxmlformats.org/officeDocument/2006/relationships/hyperlink" Target="https://www.spgroup.com.sg/wcm/connect/spgrp/26005f14-916e-4fd8-8dd0-60aac5b24b6d/%5B20220630%5D+Media+Release+-+Q3+2022+Tariff.pdf?MOD=AJPERES&amp;amp%3BCVID=" TargetMode="External"/><Relationship Id="rId77" Type="http://schemas.openxmlformats.org/officeDocument/2006/relationships/hyperlink" Target="https://www.nparks.gov.sg/portals/annualreport/theme/default/document/NParks_Annual_Report_2020_21_Annual_Report.pdf" TargetMode="External"/><Relationship Id="rId100" Type="http://schemas.openxmlformats.org/officeDocument/2006/relationships/hyperlink" Target="https://www1.bca.gov.sg/docs/default-source/docs-corp-buildsg/sustainability/green_building_valuation_report.pdf" TargetMode="External"/><Relationship Id="rId8" Type="http://schemas.openxmlformats.org/officeDocument/2006/relationships/hyperlink" Target="https://www.parliament.gov.sg/docs/default-source/default-document-library/cop2020sr2.pdf" TargetMode="External"/><Relationship Id="rId51" Type="http://schemas.openxmlformats.org/officeDocument/2006/relationships/hyperlink" Target="https://doi.org/10.4324/9781315780917" TargetMode="External"/><Relationship Id="rId72" Type="http://schemas.openxmlformats.org/officeDocument/2006/relationships/hyperlink" Target="https://ourworldindata.org/co2/country/singapore" TargetMode="External"/><Relationship Id="rId93" Type="http://schemas.openxmlformats.org/officeDocument/2006/relationships/hyperlink" Target="https://www.sciencedirect.com/science/article/abs/pii/S1364032114001695&#160;" TargetMode="External"/><Relationship Id="rId98" Type="http://schemas.openxmlformats.org/officeDocument/2006/relationships/hyperlink" Target="https://www.sfa.gov.sg/docs/default-source/publication/sg-food-statistics/singapore-food-statistics-2021.pdf" TargetMode="External"/><Relationship Id="rId3" Type="http://schemas.openxmlformats.org/officeDocument/2006/relationships/hyperlink" Target="https://www.oecd-ilibrary.org/education/education-at-a-glance-2012/how-does-education-affect-the-economy_eag_highlights-2012-15-en;jsessionid=Ww9CxL48pYV0aiZ6204k7vLL.ip-10-240-5-41"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AA82-10C0-4A6B-852D-617FB02607E0}">
  <dimension ref="B2:V82"/>
  <sheetViews>
    <sheetView topLeftCell="A66" workbookViewId="0">
      <selection activeCell="G78" sqref="G78"/>
    </sheetView>
  </sheetViews>
  <sheetFormatPr defaultColWidth="8.85546875" defaultRowHeight="15"/>
  <cols>
    <col min="2" max="2" width="25.42578125" customWidth="1"/>
    <col min="3" max="3" width="22.140625" customWidth="1"/>
    <col min="4" max="4" width="16.28515625" customWidth="1"/>
    <col min="5" max="5" width="13.7109375" customWidth="1"/>
  </cols>
  <sheetData>
    <row r="2" spans="2:3">
      <c r="C2" t="s">
        <v>0</v>
      </c>
    </row>
    <row r="4" spans="2:3">
      <c r="B4">
        <v>2</v>
      </c>
      <c r="C4" t="s">
        <v>1</v>
      </c>
    </row>
    <row r="6" spans="2:3">
      <c r="B6">
        <v>3</v>
      </c>
      <c r="C6" t="s">
        <v>2</v>
      </c>
    </row>
    <row r="8" spans="2:3">
      <c r="B8">
        <v>4</v>
      </c>
      <c r="C8" t="s">
        <v>3</v>
      </c>
    </row>
    <row r="10" spans="2:3">
      <c r="B10">
        <v>5</v>
      </c>
      <c r="C10" t="s">
        <v>4</v>
      </c>
    </row>
    <row r="12" spans="2:3">
      <c r="B12">
        <v>6</v>
      </c>
      <c r="C12" t="s">
        <v>5</v>
      </c>
    </row>
    <row r="14" spans="2:3">
      <c r="B14" t="s">
        <v>6</v>
      </c>
    </row>
    <row r="23" spans="2:22">
      <c r="B23" t="s">
        <v>7</v>
      </c>
    </row>
    <row r="25" spans="2:22">
      <c r="B25" s="12">
        <v>1</v>
      </c>
      <c r="H25" s="12">
        <v>2</v>
      </c>
      <c r="N25" s="13">
        <v>3</v>
      </c>
    </row>
    <row r="27" spans="2:22">
      <c r="V27" s="11" t="s">
        <v>8</v>
      </c>
    </row>
    <row r="38" spans="2:16">
      <c r="B38" s="13" t="s">
        <v>9</v>
      </c>
      <c r="C38" s="14"/>
      <c r="D38" s="14"/>
    </row>
    <row r="47" spans="2:16">
      <c r="N47" s="13" t="s">
        <v>10</v>
      </c>
      <c r="O47" s="14"/>
      <c r="P47" s="14"/>
    </row>
    <row r="48" spans="2:16" ht="15.75" thickBot="1">
      <c r="H48" s="13" t="s">
        <v>11</v>
      </c>
      <c r="I48" s="14"/>
      <c r="J48" s="14"/>
    </row>
    <row r="49" spans="2:19" ht="15.75" thickBot="1">
      <c r="N49" s="27" t="s">
        <v>12</v>
      </c>
      <c r="O49" s="28"/>
      <c r="P49" s="28"/>
      <c r="Q49" s="28"/>
      <c r="R49" s="28"/>
      <c r="S49" s="29"/>
    </row>
    <row r="50" spans="2:19">
      <c r="H50" s="27" t="s">
        <v>13</v>
      </c>
      <c r="I50" s="28"/>
      <c r="J50" s="28"/>
      <c r="K50" s="28"/>
      <c r="L50" s="29"/>
      <c r="N50" s="30" t="s">
        <v>14</v>
      </c>
      <c r="O50" s="31"/>
      <c r="P50" s="31"/>
      <c r="Q50" s="31"/>
      <c r="R50" s="31"/>
      <c r="S50" s="32"/>
    </row>
    <row r="51" spans="2:19">
      <c r="H51" s="38" t="s">
        <v>15</v>
      </c>
      <c r="I51" s="31"/>
      <c r="J51" s="31"/>
      <c r="K51" s="31"/>
      <c r="L51" s="32"/>
      <c r="N51" s="30" t="s">
        <v>16</v>
      </c>
      <c r="O51" s="31"/>
      <c r="P51" s="31"/>
      <c r="Q51" s="31"/>
      <c r="R51" s="31"/>
      <c r="S51" s="32"/>
    </row>
    <row r="52" spans="2:19">
      <c r="H52" s="39" t="s">
        <v>17</v>
      </c>
      <c r="I52" s="31"/>
      <c r="J52" s="31"/>
      <c r="K52" s="31"/>
      <c r="L52" s="32"/>
      <c r="N52" s="30"/>
      <c r="O52" s="37" t="s">
        <v>18</v>
      </c>
      <c r="P52" s="31"/>
      <c r="Q52" s="31"/>
      <c r="R52" s="31"/>
      <c r="S52" s="32"/>
    </row>
    <row r="53" spans="2:19" ht="15.75" thickBot="1">
      <c r="H53" s="39" t="s">
        <v>19</v>
      </c>
      <c r="I53" s="31"/>
      <c r="J53" s="31"/>
      <c r="K53" s="31"/>
      <c r="L53" s="32"/>
      <c r="N53" s="30"/>
      <c r="O53" s="37" t="s">
        <v>20</v>
      </c>
      <c r="P53" s="31"/>
      <c r="Q53" s="31"/>
      <c r="R53" s="31"/>
      <c r="S53" s="32"/>
    </row>
    <row r="54" spans="2:19">
      <c r="B54" s="27" t="s">
        <v>21</v>
      </c>
      <c r="C54" s="28"/>
      <c r="D54" s="28"/>
      <c r="E54" s="28"/>
      <c r="F54" s="29"/>
      <c r="H54" s="30"/>
      <c r="I54" s="40" t="s">
        <v>22</v>
      </c>
      <c r="J54" s="31"/>
      <c r="K54" s="31"/>
      <c r="L54" s="32"/>
      <c r="N54" s="30"/>
      <c r="O54" s="37" t="s">
        <v>23</v>
      </c>
      <c r="P54" s="31"/>
      <c r="Q54" s="31"/>
      <c r="R54" s="31"/>
      <c r="S54" s="32"/>
    </row>
    <row r="55" spans="2:19">
      <c r="B55" s="30" t="s">
        <v>24</v>
      </c>
      <c r="C55" s="31"/>
      <c r="D55" s="31"/>
      <c r="E55" s="31"/>
      <c r="F55" s="32"/>
      <c r="H55" s="30"/>
      <c r="I55" s="40" t="s">
        <v>25</v>
      </c>
      <c r="J55" s="31"/>
      <c r="K55" s="31"/>
      <c r="L55" s="32"/>
      <c r="N55" s="30" t="s">
        <v>26</v>
      </c>
      <c r="O55" s="31"/>
      <c r="P55" s="31"/>
      <c r="Q55" s="31"/>
      <c r="R55" s="31"/>
      <c r="S55" s="32"/>
    </row>
    <row r="56" spans="2:19" ht="15.75" thickBot="1">
      <c r="B56" s="30"/>
      <c r="C56" s="37" t="s">
        <v>27</v>
      </c>
      <c r="D56" s="31"/>
      <c r="E56" s="31"/>
      <c r="F56" s="32"/>
      <c r="H56" s="34"/>
      <c r="I56" s="41" t="s">
        <v>28</v>
      </c>
      <c r="J56" s="35"/>
      <c r="K56" s="35"/>
      <c r="L56" s="36"/>
      <c r="N56" s="30" t="s">
        <v>29</v>
      </c>
      <c r="O56" s="31"/>
      <c r="P56" s="31"/>
      <c r="Q56" s="31"/>
      <c r="R56" s="31"/>
      <c r="S56" s="32"/>
    </row>
    <row r="57" spans="2:19">
      <c r="B57" s="30"/>
      <c r="C57" s="37" t="s">
        <v>30</v>
      </c>
      <c r="D57" s="31"/>
      <c r="E57" s="31"/>
      <c r="F57" s="32"/>
      <c r="N57" s="33" t="s">
        <v>31</v>
      </c>
      <c r="O57" s="31"/>
      <c r="P57" s="31"/>
      <c r="Q57" s="31"/>
      <c r="R57" s="31"/>
      <c r="S57" s="32"/>
    </row>
    <row r="58" spans="2:19">
      <c r="B58" s="30"/>
      <c r="C58" s="37" t="s">
        <v>32</v>
      </c>
      <c r="D58" s="31"/>
      <c r="E58" s="31"/>
      <c r="F58" s="32"/>
      <c r="N58" s="30" t="s">
        <v>33</v>
      </c>
      <c r="O58" s="31"/>
      <c r="P58" s="31"/>
      <c r="Q58" s="31"/>
      <c r="R58" s="31"/>
      <c r="S58" s="32"/>
    </row>
    <row r="59" spans="2:19">
      <c r="B59" s="30"/>
      <c r="C59" s="37" t="s">
        <v>34</v>
      </c>
      <c r="D59" s="31"/>
      <c r="E59" s="31"/>
      <c r="F59" s="32"/>
      <c r="N59" s="30" t="s">
        <v>35</v>
      </c>
      <c r="O59" s="31"/>
      <c r="P59" s="31"/>
      <c r="Q59" s="31"/>
      <c r="R59" s="31"/>
      <c r="S59" s="32"/>
    </row>
    <row r="60" spans="2:19">
      <c r="B60" s="33" t="s">
        <v>36</v>
      </c>
      <c r="C60" s="31"/>
      <c r="D60" s="31"/>
      <c r="E60" s="31"/>
      <c r="F60" s="32"/>
      <c r="N60" s="30" t="s">
        <v>37</v>
      </c>
      <c r="O60" s="31"/>
      <c r="P60" s="31"/>
      <c r="Q60" s="31"/>
      <c r="R60" s="31"/>
      <c r="S60" s="32"/>
    </row>
    <row r="61" spans="2:19">
      <c r="B61" s="30" t="s">
        <v>38</v>
      </c>
      <c r="C61" s="31"/>
      <c r="D61" s="31"/>
      <c r="E61" s="31"/>
      <c r="F61" s="32"/>
      <c r="N61" s="30" t="s">
        <v>39</v>
      </c>
      <c r="O61" s="31"/>
      <c r="P61" s="31"/>
      <c r="Q61" s="31"/>
      <c r="R61" s="31"/>
      <c r="S61" s="32"/>
    </row>
    <row r="62" spans="2:19" ht="15.75" thickBot="1">
      <c r="B62" s="30" t="s">
        <v>40</v>
      </c>
      <c r="C62" s="31"/>
      <c r="D62" s="31"/>
      <c r="E62" s="31"/>
      <c r="F62" s="32"/>
      <c r="N62" s="34"/>
      <c r="O62" s="35"/>
      <c r="P62" s="35"/>
      <c r="Q62" s="35"/>
      <c r="R62" s="35"/>
      <c r="S62" s="36"/>
    </row>
    <row r="63" spans="2:19">
      <c r="B63" s="30" t="s">
        <v>41</v>
      </c>
      <c r="C63" s="31"/>
      <c r="D63" s="31"/>
      <c r="E63" s="31"/>
      <c r="F63" s="32"/>
    </row>
    <row r="64" spans="2:19">
      <c r="B64" s="30" t="s">
        <v>42</v>
      </c>
      <c r="C64" s="31"/>
      <c r="D64" s="31"/>
      <c r="E64" s="31"/>
      <c r="F64" s="32"/>
    </row>
    <row r="65" spans="2:6">
      <c r="B65" s="30" t="s">
        <v>43</v>
      </c>
      <c r="C65" s="31"/>
      <c r="D65" s="31"/>
      <c r="E65" s="31"/>
      <c r="F65" s="32"/>
    </row>
    <row r="66" spans="2:6">
      <c r="B66" s="30" t="s">
        <v>44</v>
      </c>
      <c r="C66" s="31"/>
      <c r="D66" s="31"/>
      <c r="E66" s="31"/>
      <c r="F66" s="32"/>
    </row>
    <row r="67" spans="2:6" ht="15.75" thickBot="1">
      <c r="B67" s="34" t="s">
        <v>45</v>
      </c>
      <c r="C67" s="35"/>
      <c r="D67" s="35"/>
      <c r="E67" s="35"/>
      <c r="F67" s="36"/>
    </row>
    <row r="72" spans="2:6" ht="15.75" thickBot="1"/>
    <row r="73" spans="2:6" ht="15.75" thickBot="1">
      <c r="B73" s="309" t="s">
        <v>1461</v>
      </c>
      <c r="C73" s="308" t="s">
        <v>1460</v>
      </c>
      <c r="D73" s="308" t="s">
        <v>1459</v>
      </c>
      <c r="E73" s="308" t="s">
        <v>1458</v>
      </c>
    </row>
    <row r="74" spans="2:6" ht="30.75" thickBot="1">
      <c r="B74" s="307" t="s">
        <v>1457</v>
      </c>
      <c r="C74" s="306" t="s">
        <v>1447</v>
      </c>
      <c r="D74" s="335" t="s">
        <v>1446</v>
      </c>
      <c r="E74" s="306"/>
    </row>
    <row r="75" spans="2:6" ht="15.75" thickBot="1">
      <c r="B75" s="307" t="s">
        <v>1456</v>
      </c>
      <c r="C75" s="306" t="s">
        <v>1471</v>
      </c>
      <c r="D75" s="335" t="s">
        <v>1446</v>
      </c>
      <c r="E75" s="306"/>
    </row>
    <row r="76" spans="2:6" ht="45.75" thickBot="1">
      <c r="B76" s="307" t="s">
        <v>1455</v>
      </c>
      <c r="C76" s="306" t="s">
        <v>1451</v>
      </c>
      <c r="D76" s="335" t="s">
        <v>1446</v>
      </c>
      <c r="E76" s="306"/>
    </row>
    <row r="77" spans="2:6" ht="45.75" thickBot="1">
      <c r="B77" s="307" t="s">
        <v>1454</v>
      </c>
      <c r="C77" s="306" t="s">
        <v>1472</v>
      </c>
      <c r="D77" s="335" t="s">
        <v>1446</v>
      </c>
      <c r="E77" s="306"/>
    </row>
    <row r="78" spans="2:6" ht="30.75" thickBot="1">
      <c r="B78" s="307" t="s">
        <v>1453</v>
      </c>
      <c r="C78" s="306" t="s">
        <v>1451</v>
      </c>
      <c r="D78" s="335" t="s">
        <v>1446</v>
      </c>
      <c r="E78" s="306"/>
    </row>
    <row r="79" spans="2:6" ht="45.75" thickBot="1">
      <c r="B79" s="307" t="s">
        <v>1452</v>
      </c>
      <c r="C79" s="306" t="s">
        <v>1451</v>
      </c>
      <c r="D79" s="335" t="s">
        <v>1446</v>
      </c>
      <c r="E79" s="306"/>
    </row>
    <row r="80" spans="2:6" ht="30.75" thickBot="1">
      <c r="B80" s="307" t="s">
        <v>1450</v>
      </c>
      <c r="C80" s="306" t="s">
        <v>1447</v>
      </c>
      <c r="D80" s="335" t="s">
        <v>1449</v>
      </c>
      <c r="E80" s="306"/>
    </row>
    <row r="81" spans="2:5" ht="15.75" thickBot="1">
      <c r="B81" s="307" t="s">
        <v>1448</v>
      </c>
      <c r="C81" s="306" t="s">
        <v>1447</v>
      </c>
      <c r="D81" s="335" t="s">
        <v>1446</v>
      </c>
      <c r="E81" s="306"/>
    </row>
    <row r="82" spans="2:5" ht="15.75" thickBot="1">
      <c r="B82" s="307" t="s">
        <v>1445</v>
      </c>
      <c r="C82" s="306" t="s">
        <v>1444</v>
      </c>
      <c r="D82" s="335" t="s">
        <v>1443</v>
      </c>
      <c r="E82" s="30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31C13-4F98-4402-B6DD-424ED07849AC}">
  <dimension ref="A1:H108"/>
  <sheetViews>
    <sheetView showGridLines="0" workbookViewId="0">
      <pane ySplit="1" topLeftCell="A2" activePane="bottomLeft" state="frozen"/>
      <selection pane="bottomLeft" activeCell="A37" sqref="A37"/>
    </sheetView>
  </sheetViews>
  <sheetFormatPr defaultColWidth="8.85546875" defaultRowHeight="15" outlineLevelRow="1"/>
  <cols>
    <col min="1" max="1" width="69" bestFit="1" customWidth="1"/>
    <col min="2" max="2" width="20.7109375" style="60" customWidth="1"/>
    <col min="3" max="3" width="17" bestFit="1" customWidth="1"/>
    <col min="4" max="4" width="42.85546875" customWidth="1"/>
    <col min="5" max="5" width="20.28515625" customWidth="1"/>
    <col min="6" max="6" width="12.42578125" style="60" bestFit="1" customWidth="1"/>
    <col min="7" max="7" width="73.28515625" bestFit="1" customWidth="1"/>
    <col min="8" max="8" width="54.42578125" customWidth="1"/>
  </cols>
  <sheetData>
    <row r="1" spans="1:8" ht="24.75" customHeight="1">
      <c r="A1" s="56" t="s">
        <v>46</v>
      </c>
      <c r="B1" s="57" t="s">
        <v>47</v>
      </c>
      <c r="C1" s="57" t="s">
        <v>48</v>
      </c>
      <c r="D1" s="57" t="s">
        <v>49</v>
      </c>
      <c r="E1" s="57" t="s">
        <v>50</v>
      </c>
      <c r="F1" s="57" t="s">
        <v>51</v>
      </c>
      <c r="G1" s="58" t="s">
        <v>52</v>
      </c>
      <c r="H1" s="57" t="s">
        <v>53</v>
      </c>
    </row>
    <row r="2" spans="1:8" ht="14.25" customHeight="1">
      <c r="A2" s="55"/>
      <c r="B2" s="53"/>
      <c r="C2" s="53"/>
      <c r="D2" s="53"/>
      <c r="E2" s="53"/>
      <c r="F2" s="53"/>
      <c r="G2" s="54"/>
    </row>
    <row r="3" spans="1:8" ht="18.75">
      <c r="A3" s="3" t="s">
        <v>54</v>
      </c>
    </row>
    <row r="4" spans="1:8" hidden="1" outlineLevel="1">
      <c r="A4" s="347" t="s">
        <v>55</v>
      </c>
      <c r="B4" s="348"/>
      <c r="C4" s="212">
        <v>2.4690505853454541E-2</v>
      </c>
      <c r="D4" s="347"/>
      <c r="E4" s="61" t="s">
        <v>56</v>
      </c>
      <c r="F4" s="349">
        <v>2022</v>
      </c>
      <c r="G4" s="42"/>
      <c r="H4" s="42"/>
    </row>
    <row r="5" spans="1:8" ht="30" hidden="1" outlineLevel="1">
      <c r="A5" s="61" t="s">
        <v>57</v>
      </c>
      <c r="B5" s="350" t="s">
        <v>58</v>
      </c>
      <c r="C5" s="351">
        <v>114165</v>
      </c>
      <c r="D5" s="350"/>
      <c r="E5" s="350" t="s">
        <v>59</v>
      </c>
      <c r="F5" s="350">
        <v>2023</v>
      </c>
      <c r="G5" s="352" t="s">
        <v>60</v>
      </c>
      <c r="H5" s="350"/>
    </row>
    <row r="6" spans="1:8" hidden="1" outlineLevel="1">
      <c r="A6" s="353" t="s">
        <v>61</v>
      </c>
      <c r="B6" s="354" t="s">
        <v>62</v>
      </c>
      <c r="C6" s="355">
        <f>8760*60</f>
        <v>525600</v>
      </c>
      <c r="D6" s="350"/>
      <c r="E6" s="350"/>
      <c r="F6" s="350"/>
      <c r="G6" s="350"/>
      <c r="H6" s="350"/>
    </row>
    <row r="7" spans="1:8" hidden="1" outlineLevel="1">
      <c r="A7" s="356" t="s">
        <v>63</v>
      </c>
      <c r="B7" s="357" t="s">
        <v>64</v>
      </c>
      <c r="C7" s="264">
        <f>1/0.73</f>
        <v>1.3698630136986301</v>
      </c>
      <c r="D7" s="350" t="s">
        <v>65</v>
      </c>
      <c r="E7" s="350" t="s">
        <v>66</v>
      </c>
      <c r="F7" s="350">
        <v>2023</v>
      </c>
      <c r="G7" s="352" t="s">
        <v>67</v>
      </c>
      <c r="H7" s="350"/>
    </row>
    <row r="8" spans="1:8" hidden="1" outlineLevel="1">
      <c r="A8" s="356" t="s">
        <v>63</v>
      </c>
      <c r="B8" s="357" t="s">
        <v>68</v>
      </c>
      <c r="C8" s="264">
        <v>60.76</v>
      </c>
      <c r="D8" s="350" t="s">
        <v>65</v>
      </c>
      <c r="E8" s="350" t="s">
        <v>66</v>
      </c>
      <c r="F8" s="350">
        <v>2023</v>
      </c>
      <c r="G8" s="352" t="s">
        <v>69</v>
      </c>
      <c r="H8" s="350"/>
    </row>
    <row r="9" spans="1:8" hidden="1" outlineLevel="1">
      <c r="A9" s="358" t="s">
        <v>63</v>
      </c>
      <c r="B9" s="359" t="s">
        <v>1468</v>
      </c>
      <c r="C9" s="360">
        <v>1.25</v>
      </c>
      <c r="D9" s="350" t="s">
        <v>1469</v>
      </c>
      <c r="E9" s="350" t="s">
        <v>66</v>
      </c>
      <c r="F9" s="350">
        <v>2023</v>
      </c>
      <c r="G9" s="352" t="s">
        <v>1470</v>
      </c>
      <c r="H9" s="350"/>
    </row>
    <row r="10" spans="1:8" hidden="1" outlineLevel="1">
      <c r="A10" s="356" t="s">
        <v>63</v>
      </c>
      <c r="B10" s="357" t="s">
        <v>70</v>
      </c>
      <c r="C10" s="264">
        <v>0.19420000000000001</v>
      </c>
      <c r="D10" s="350" t="s">
        <v>65</v>
      </c>
      <c r="E10" s="350" t="s">
        <v>66</v>
      </c>
      <c r="F10" s="350">
        <v>2023</v>
      </c>
      <c r="G10" s="352" t="s">
        <v>71</v>
      </c>
      <c r="H10" s="350"/>
    </row>
    <row r="11" spans="1:8" hidden="1" outlineLevel="1">
      <c r="A11" s="42" t="s">
        <v>72</v>
      </c>
      <c r="B11" s="350"/>
      <c r="C11" s="361">
        <v>38000</v>
      </c>
      <c r="D11" s="42"/>
      <c r="E11" s="42"/>
      <c r="F11" s="362"/>
      <c r="G11" s="42"/>
      <c r="H11" s="42"/>
    </row>
    <row r="12" spans="1:8" hidden="1" outlineLevel="1">
      <c r="A12" s="356" t="s">
        <v>73</v>
      </c>
      <c r="B12" s="357"/>
      <c r="C12" s="264">
        <f>'Table 1'!D29</f>
        <v>3.22</v>
      </c>
      <c r="D12" s="42"/>
      <c r="E12" s="42"/>
      <c r="F12" s="362"/>
      <c r="G12" s="42"/>
      <c r="H12" s="42"/>
    </row>
    <row r="13" spans="1:8" collapsed="1"/>
    <row r="14" spans="1:8" ht="18.75">
      <c r="A14" s="3" t="s">
        <v>74</v>
      </c>
    </row>
    <row r="15" spans="1:8" ht="15" customHeight="1" outlineLevel="1">
      <c r="A15" s="51" t="s">
        <v>75</v>
      </c>
      <c r="B15" s="357" t="s">
        <v>76</v>
      </c>
      <c r="C15" s="264">
        <v>0.31</v>
      </c>
      <c r="D15" s="357" t="s">
        <v>77</v>
      </c>
      <c r="E15" s="357" t="s">
        <v>78</v>
      </c>
      <c r="F15" s="357">
        <v>2023</v>
      </c>
      <c r="G15" s="213" t="s">
        <v>79</v>
      </c>
      <c r="H15" s="42"/>
    </row>
    <row r="16" spans="1:8" ht="15" customHeight="1" outlineLevel="1">
      <c r="A16" s="51" t="s">
        <v>80</v>
      </c>
      <c r="B16" s="357" t="s">
        <v>1153</v>
      </c>
      <c r="C16" s="264">
        <f>940</f>
        <v>940</v>
      </c>
      <c r="D16" s="363" t="s">
        <v>81</v>
      </c>
      <c r="E16" s="357" t="s">
        <v>82</v>
      </c>
      <c r="F16" s="364" t="s">
        <v>83</v>
      </c>
      <c r="G16" s="213" t="s">
        <v>84</v>
      </c>
      <c r="H16" s="42"/>
    </row>
    <row r="17" spans="1:8" ht="15" customHeight="1" outlineLevel="1">
      <c r="A17" s="51" t="s">
        <v>85</v>
      </c>
      <c r="B17" s="357" t="s">
        <v>1153</v>
      </c>
      <c r="C17" s="264">
        <f>10</f>
        <v>10</v>
      </c>
      <c r="D17" s="363" t="s">
        <v>86</v>
      </c>
      <c r="E17" s="357" t="s">
        <v>82</v>
      </c>
      <c r="F17" s="364" t="s">
        <v>83</v>
      </c>
      <c r="G17" s="213" t="s">
        <v>84</v>
      </c>
      <c r="H17" s="42"/>
    </row>
    <row r="18" spans="1:8" ht="22.5" customHeight="1" outlineLevel="1">
      <c r="A18" s="51" t="s">
        <v>87</v>
      </c>
      <c r="B18" s="357" t="s">
        <v>1153</v>
      </c>
      <c r="C18" s="215">
        <f>3000*'Financial Proxies'!C7</f>
        <v>4109.58904109589</v>
      </c>
      <c r="D18" s="365" t="s">
        <v>88</v>
      </c>
      <c r="E18" s="366" t="s">
        <v>89</v>
      </c>
      <c r="F18" s="366">
        <v>2022</v>
      </c>
      <c r="G18" s="214" t="s">
        <v>90</v>
      </c>
      <c r="H18" s="45" t="s">
        <v>91</v>
      </c>
    </row>
    <row r="19" spans="1:8" ht="24.75" customHeight="1" outlineLevel="1">
      <c r="A19" s="367" t="s">
        <v>92</v>
      </c>
      <c r="B19" s="366" t="s">
        <v>76</v>
      </c>
      <c r="C19" s="215">
        <f>((0.01+0.02)/2)*1.37</f>
        <v>2.0550000000000002E-2</v>
      </c>
      <c r="D19" s="365" t="s">
        <v>93</v>
      </c>
      <c r="E19" s="366" t="s">
        <v>94</v>
      </c>
      <c r="F19" s="366">
        <v>2023</v>
      </c>
      <c r="G19" s="214" t="s">
        <v>95</v>
      </c>
      <c r="H19" s="368" t="s">
        <v>96</v>
      </c>
    </row>
    <row r="20" spans="1:8" ht="96" outlineLevel="1">
      <c r="A20" s="347" t="s">
        <v>1495</v>
      </c>
      <c r="B20" s="366" t="str">
        <f>'Table 1'!C144</f>
        <v>SGD</v>
      </c>
      <c r="C20" s="215">
        <f>(156656)*'Financial Proxies'!C7</f>
        <v>214597.26027397258</v>
      </c>
      <c r="D20" s="365" t="s">
        <v>1498</v>
      </c>
      <c r="E20" s="366" t="str">
        <f>'Table 1'!F144</f>
        <v>(Sharma, 2022)</v>
      </c>
      <c r="F20" s="366">
        <v>2022</v>
      </c>
      <c r="G20" s="344" t="s">
        <v>1499</v>
      </c>
      <c r="H20" s="368" t="s">
        <v>1497</v>
      </c>
    </row>
    <row r="21" spans="1:8" ht="96" outlineLevel="1">
      <c r="A21" s="347" t="s">
        <v>1496</v>
      </c>
      <c r="B21" s="366" t="str">
        <f>'Table 1'!C145</f>
        <v>SGD/year</v>
      </c>
      <c r="C21" s="215">
        <f>90701*C7</f>
        <v>124247.94520547944</v>
      </c>
      <c r="D21" s="365" t="s">
        <v>1498</v>
      </c>
      <c r="E21" s="366" t="str">
        <f>'Table 1'!F145</f>
        <v>(Sharma, 2022)</v>
      </c>
      <c r="F21" s="366">
        <v>2022</v>
      </c>
      <c r="G21" s="214" t="s">
        <v>1499</v>
      </c>
      <c r="H21" s="368" t="s">
        <v>1497</v>
      </c>
    </row>
    <row r="22" spans="1:8" ht="24.75" customHeight="1" outlineLevel="1">
      <c r="A22" s="347" t="s">
        <v>1502</v>
      </c>
      <c r="B22" s="366" t="s">
        <v>1505</v>
      </c>
      <c r="C22" s="369">
        <f>155000*C7</f>
        <v>212328.76712328766</v>
      </c>
      <c r="D22" s="365" t="s">
        <v>1503</v>
      </c>
      <c r="E22" s="60" t="s">
        <v>1579</v>
      </c>
      <c r="F22" s="366">
        <v>2018</v>
      </c>
      <c r="G22" s="214" t="s">
        <v>1504</v>
      </c>
      <c r="H22" s="368"/>
    </row>
    <row r="23" spans="1:8" ht="24.75" customHeight="1" outlineLevel="1">
      <c r="A23" s="347" t="s">
        <v>1552</v>
      </c>
      <c r="B23" s="366" t="s">
        <v>774</v>
      </c>
      <c r="C23" s="369">
        <f>0.5*4.2492+0.5*0.0876</f>
        <v>2.1684000000000001</v>
      </c>
      <c r="D23" s="365" t="s">
        <v>1554</v>
      </c>
      <c r="E23" s="366" t="s">
        <v>1580</v>
      </c>
      <c r="F23" s="366">
        <v>2023</v>
      </c>
      <c r="G23" s="214" t="s">
        <v>1553</v>
      </c>
      <c r="H23" s="368"/>
    </row>
    <row r="24" spans="1:8" ht="24.75" customHeight="1" outlineLevel="1">
      <c r="A24" s="48"/>
      <c r="B24" s="370"/>
      <c r="C24" s="371"/>
      <c r="D24" s="372"/>
      <c r="E24" s="370"/>
      <c r="F24" s="370"/>
      <c r="G24" s="345"/>
      <c r="H24" s="373"/>
    </row>
    <row r="26" spans="1:8" ht="18.75">
      <c r="A26" s="374" t="s">
        <v>97</v>
      </c>
    </row>
    <row r="27" spans="1:8" ht="45" hidden="1" outlineLevel="1">
      <c r="A27" s="367" t="s">
        <v>98</v>
      </c>
      <c r="B27" s="366" t="s">
        <v>99</v>
      </c>
      <c r="C27" s="215">
        <v>3.24</v>
      </c>
      <c r="D27" s="365" t="s">
        <v>100</v>
      </c>
      <c r="E27" s="366" t="s">
        <v>101</v>
      </c>
      <c r="F27" s="366">
        <v>2023</v>
      </c>
      <c r="G27" s="214" t="s">
        <v>102</v>
      </c>
      <c r="H27" s="368" t="s">
        <v>103</v>
      </c>
    </row>
    <row r="28" spans="1:8" ht="30" hidden="1" outlineLevel="1">
      <c r="A28" s="367" t="s">
        <v>104</v>
      </c>
      <c r="B28" s="366" t="s">
        <v>99</v>
      </c>
      <c r="C28" s="215">
        <f>(151.3/420)*(1.0247^(2023-2005))</f>
        <v>0.55889585579813961</v>
      </c>
      <c r="D28" s="365" t="s">
        <v>105</v>
      </c>
      <c r="E28" s="366" t="s">
        <v>106</v>
      </c>
      <c r="F28" s="366">
        <v>2005</v>
      </c>
      <c r="G28" s="350" t="s">
        <v>107</v>
      </c>
      <c r="H28" s="368" t="s">
        <v>108</v>
      </c>
    </row>
    <row r="29" spans="1:8" ht="87" hidden="1" customHeight="1" outlineLevel="1">
      <c r="A29" s="367" t="s">
        <v>109</v>
      </c>
      <c r="B29" s="366" t="s">
        <v>99</v>
      </c>
      <c r="C29" s="215">
        <f>((2509.8+1610.9+1148.1+685.3)/420)*1.0247^(2023-2005)</f>
        <v>21.994195736997384</v>
      </c>
      <c r="D29" s="365" t="s">
        <v>110</v>
      </c>
      <c r="E29" s="366" t="s">
        <v>106</v>
      </c>
      <c r="F29" s="366">
        <v>2005</v>
      </c>
      <c r="G29" s="350" t="s">
        <v>107</v>
      </c>
      <c r="H29" s="368" t="s">
        <v>108</v>
      </c>
    </row>
    <row r="30" spans="1:8" ht="87" hidden="1" customHeight="1" outlineLevel="1">
      <c r="A30" s="367" t="s">
        <v>111</v>
      </c>
      <c r="B30" s="366" t="s">
        <v>112</v>
      </c>
      <c r="C30" s="215">
        <f>('Project Input'!B53+'Project Input'!B54)*0.05</f>
        <v>48029.850000000006</v>
      </c>
      <c r="D30" s="365" t="s">
        <v>113</v>
      </c>
      <c r="E30" s="366" t="s">
        <v>1578</v>
      </c>
      <c r="F30" s="366">
        <v>2023</v>
      </c>
      <c r="G30" s="352" t="s">
        <v>114</v>
      </c>
      <c r="H30" s="368"/>
    </row>
    <row r="31" spans="1:8" ht="87" hidden="1" customHeight="1" outlineLevel="1">
      <c r="A31" s="375" t="s">
        <v>115</v>
      </c>
      <c r="B31" s="173" t="s">
        <v>116</v>
      </c>
      <c r="C31" s="215">
        <f>RAINWATER_STORAGE_COMMERCIAL_COST_CONSTR</f>
        <v>275.5227552275523</v>
      </c>
      <c r="D31" s="365" t="s">
        <v>117</v>
      </c>
      <c r="E31" s="366" t="s">
        <v>118</v>
      </c>
      <c r="F31" s="366">
        <v>2018</v>
      </c>
      <c r="G31" s="350"/>
      <c r="H31" s="368" t="s">
        <v>119</v>
      </c>
    </row>
    <row r="32" spans="1:8" ht="87" hidden="1" customHeight="1" outlineLevel="1">
      <c r="A32" s="376" t="s">
        <v>120</v>
      </c>
      <c r="B32" s="377" t="s">
        <v>121</v>
      </c>
      <c r="C32" s="378">
        <f>C33*'Project Input'!B4</f>
        <v>1222374.0593249851</v>
      </c>
      <c r="D32" s="365"/>
      <c r="E32" s="366"/>
      <c r="F32" s="366"/>
      <c r="G32" s="350"/>
      <c r="H32" s="368"/>
    </row>
    <row r="33" spans="1:8" ht="87" hidden="1" customHeight="1" outlineLevel="1">
      <c r="A33" s="161" t="s">
        <v>122</v>
      </c>
      <c r="B33" s="162" t="s">
        <v>123</v>
      </c>
      <c r="C33" s="215">
        <f>WATER_USE_LG_BUILDING_AVG</f>
        <v>0.81491603954999003</v>
      </c>
      <c r="D33" s="161" t="s">
        <v>124</v>
      </c>
      <c r="E33" s="366" t="s">
        <v>1576</v>
      </c>
      <c r="F33" s="366">
        <v>2012</v>
      </c>
      <c r="G33" s="379" t="s">
        <v>125</v>
      </c>
      <c r="H33" s="368"/>
    </row>
    <row r="34" spans="1:8" ht="87" hidden="1" customHeight="1" outlineLevel="1">
      <c r="A34" s="380" t="s">
        <v>126</v>
      </c>
      <c r="B34" s="366" t="s">
        <v>127</v>
      </c>
      <c r="C34" s="215">
        <f>(2*0.5+3.5*0.5)/C8*1000</f>
        <v>45.260039499670832</v>
      </c>
      <c r="D34" s="365" t="s">
        <v>128</v>
      </c>
      <c r="E34" s="366" t="s">
        <v>1575</v>
      </c>
      <c r="F34" s="366">
        <v>2019</v>
      </c>
      <c r="G34" s="352" t="s">
        <v>129</v>
      </c>
      <c r="H34" s="368"/>
    </row>
    <row r="35" spans="1:8" ht="87" hidden="1" customHeight="1" outlineLevel="1">
      <c r="A35" s="367" t="s">
        <v>130</v>
      </c>
      <c r="B35" s="366"/>
      <c r="C35" s="215">
        <v>0.9</v>
      </c>
      <c r="D35" s="365" t="s">
        <v>131</v>
      </c>
      <c r="E35" t="s">
        <v>1574</v>
      </c>
      <c r="F35" s="366">
        <v>2006</v>
      </c>
      <c r="G35" s="352" t="s">
        <v>132</v>
      </c>
      <c r="H35" s="368"/>
    </row>
    <row r="36" spans="1:8" ht="87" hidden="1" customHeight="1" outlineLevel="1">
      <c r="A36" s="367" t="s">
        <v>133</v>
      </c>
      <c r="B36" s="366" t="s">
        <v>134</v>
      </c>
      <c r="C36" s="215">
        <v>2534.3000000000002</v>
      </c>
      <c r="D36" s="365" t="s">
        <v>135</v>
      </c>
      <c r="E36" s="366" t="s">
        <v>1577</v>
      </c>
      <c r="F36" s="366" t="s">
        <v>662</v>
      </c>
      <c r="G36" s="352" t="s">
        <v>136</v>
      </c>
      <c r="H36" s="368"/>
    </row>
    <row r="37" spans="1:8" ht="60" hidden="1" outlineLevel="1">
      <c r="A37" s="367" t="s">
        <v>137</v>
      </c>
      <c r="B37" s="366" t="s">
        <v>138</v>
      </c>
      <c r="C37" s="215">
        <f>(274671.14/159971)*1.0247^(2023-2015)</f>
        <v>2.087111543120741</v>
      </c>
      <c r="D37" s="365" t="s">
        <v>139</v>
      </c>
      <c r="E37" s="366" t="s">
        <v>140</v>
      </c>
      <c r="F37" s="366">
        <v>2015</v>
      </c>
      <c r="G37" s="350" t="s">
        <v>107</v>
      </c>
      <c r="H37" s="368" t="s">
        <v>108</v>
      </c>
    </row>
    <row r="38" spans="1:8" ht="45" hidden="1" outlineLevel="1">
      <c r="A38" s="367" t="s">
        <v>141</v>
      </c>
      <c r="B38" s="366" t="s">
        <v>142</v>
      </c>
      <c r="C38" s="215">
        <f>((2040/5+22970.4/10+2040/5+2010.08/10)/55908)*1.0247^(2023-2008)</f>
        <v>8.5474364589234408E-2</v>
      </c>
      <c r="D38" s="365" t="s">
        <v>143</v>
      </c>
      <c r="E38" s="366" t="s">
        <v>144</v>
      </c>
      <c r="F38" s="366">
        <v>2008</v>
      </c>
      <c r="G38" s="350" t="s">
        <v>107</v>
      </c>
      <c r="H38" s="368" t="s">
        <v>108</v>
      </c>
    </row>
    <row r="39" spans="1:8" ht="30" hidden="1" outlineLevel="1">
      <c r="A39" s="367" t="s">
        <v>145</v>
      </c>
      <c r="B39" s="366" t="s">
        <v>146</v>
      </c>
      <c r="C39" s="215">
        <f>1.4*1.0247^(2023-2014)</f>
        <v>1.7438079831720799</v>
      </c>
      <c r="D39" s="365" t="s">
        <v>147</v>
      </c>
      <c r="E39" s="366" t="s">
        <v>148</v>
      </c>
      <c r="F39" s="366">
        <v>2014</v>
      </c>
      <c r="G39" s="350" t="s">
        <v>107</v>
      </c>
      <c r="H39" s="368" t="s">
        <v>108</v>
      </c>
    </row>
    <row r="40" spans="1:8" collapsed="1"/>
    <row r="41" spans="1:8" ht="18.75">
      <c r="A41" s="374" t="s">
        <v>149</v>
      </c>
      <c r="C41" s="381"/>
    </row>
    <row r="42" spans="1:8" ht="135" hidden="1" outlineLevel="1">
      <c r="A42" s="356" t="s">
        <v>150</v>
      </c>
      <c r="B42" s="350" t="s">
        <v>151</v>
      </c>
      <c r="C42" s="264">
        <f>'Table 2'!D23</f>
        <v>27.758533270416663</v>
      </c>
      <c r="D42" s="350" t="str">
        <f>'Table 2'!E23</f>
        <v>Based on the paper, for High income Hot Climate countries, the estimated excess Energy expenditure between 20°C and 35°C is approximated by ΔE (MJ) = -0.9315 + 0.2522*T + 0.01042*T^2, giving meaning that an increase of 1°C at 27.9 (SG annual mean temp in 2021 from NEA) means an extra 0.8481 MJ in daily energy use per capita, using latest low tension tariff pricing from SP</v>
      </c>
      <c r="E42" s="382" t="str">
        <f>'Table 2'!F23</f>
        <v>(Rode, 2021)
(NEA, 2022)</v>
      </c>
      <c r="F42" s="383" t="s">
        <v>152</v>
      </c>
      <c r="G42" s="350" t="s">
        <v>153</v>
      </c>
      <c r="H42" s="350"/>
    </row>
    <row r="43" spans="1:8" ht="18.75" hidden="1" customHeight="1" outlineLevel="1">
      <c r="A43" s="356" t="s">
        <v>154</v>
      </c>
      <c r="B43" s="350" t="s">
        <v>155</v>
      </c>
      <c r="C43" s="264">
        <f>'Table 2'!D11</f>
        <v>4.24</v>
      </c>
      <c r="D43" s="350" t="str">
        <f>'Table 2'!E11</f>
        <v>Many assumptions made in Greenery Space Report, need to recalculate this, but the (Salvo, 2018) reference is good</v>
      </c>
      <c r="E43" s="350" t="str">
        <f>'Table 2'!F11</f>
        <v>(Salvo, 2018)</v>
      </c>
      <c r="F43" s="350">
        <v>2018</v>
      </c>
      <c r="G43" s="350"/>
      <c r="H43" s="350"/>
    </row>
    <row r="44" spans="1:8" hidden="1" outlineLevel="1">
      <c r="A44" s="356" t="s">
        <v>156</v>
      </c>
      <c r="B44" s="350" t="s">
        <v>138</v>
      </c>
      <c r="C44" s="264">
        <f>('Table 1'!D173/'Table 1'!D179)</f>
        <v>0.97468522584644701</v>
      </c>
      <c r="D44" s="350" t="str">
        <f>'Table 1'!E179</f>
        <v>From NParks Annual Report 2020/21.</v>
      </c>
      <c r="E44" s="350" t="str">
        <f>'Table 1'!F179</f>
        <v>NParks, 2021</v>
      </c>
      <c r="F44" s="350">
        <v>2021</v>
      </c>
      <c r="G44" s="350"/>
      <c r="H44" s="350"/>
    </row>
    <row r="45" spans="1:8" ht="60" hidden="1" outlineLevel="1">
      <c r="A45" s="384" t="s">
        <v>157</v>
      </c>
      <c r="B45" s="350" t="s">
        <v>158</v>
      </c>
      <c r="C45" s="264">
        <f>'Table 2'!D17</f>
        <v>2.1144065484311052</v>
      </c>
      <c r="D45" s="350" t="s">
        <v>159</v>
      </c>
      <c r="E45" s="350" t="s">
        <v>160</v>
      </c>
      <c r="F45" s="350" t="s">
        <v>161</v>
      </c>
      <c r="G45" s="350"/>
      <c r="H45" s="350"/>
    </row>
    <row r="46" spans="1:8" ht="30" hidden="1" outlineLevel="1">
      <c r="A46" s="356" t="s">
        <v>1559</v>
      </c>
      <c r="B46" s="357" t="s">
        <v>162</v>
      </c>
      <c r="C46" s="264">
        <f>1000/((130*0.5+88*0.5)*1000)*C7</f>
        <v>1.2567550584391102E-2</v>
      </c>
      <c r="D46" s="350"/>
      <c r="E46" s="350" t="s">
        <v>163</v>
      </c>
      <c r="F46" s="350">
        <v>2016</v>
      </c>
      <c r="G46" s="352" t="s">
        <v>164</v>
      </c>
      <c r="H46" s="352" t="s">
        <v>165</v>
      </c>
    </row>
    <row r="47" spans="1:8" ht="45" hidden="1" outlineLevel="1">
      <c r="A47" t="s">
        <v>1563</v>
      </c>
      <c r="B47" s="357" t="s">
        <v>167</v>
      </c>
      <c r="C47" s="264">
        <f>PCT_DEC_IN_UNHAPPY_PEOPLE_PER_PCT_INC_IN_GREEN</f>
        <v>6.6250000000000003E-2</v>
      </c>
      <c r="D47" s="350" t="s">
        <v>168</v>
      </c>
      <c r="E47" s="350" t="s">
        <v>169</v>
      </c>
      <c r="F47" s="350">
        <v>2006</v>
      </c>
      <c r="G47" s="350" t="s">
        <v>153</v>
      </c>
      <c r="H47" s="350"/>
    </row>
    <row r="48" spans="1:8" ht="35.1" hidden="1" customHeight="1" outlineLevel="1">
      <c r="A48" s="385" t="s">
        <v>170</v>
      </c>
      <c r="B48" s="386" t="s">
        <v>171</v>
      </c>
      <c r="C48" s="361">
        <f>'Table 2'!$D$18</f>
        <v>11.568360951826159</v>
      </c>
      <c r="D48" s="350" t="str">
        <f>'Table 2'!$E$18</f>
        <v>Based on research for Perth (population 2.14 million) showing that an increase in 0.7-0.9°C from 2026 to 2032 would result in additional healthcare costs of AUD 125.8-129.1 million). (Tong et al. 2021)
Assuming that healthcare costs scale linearly with HDI (AU 0.960, SG 0.938) (Global Data Lab, n.d.)</v>
      </c>
      <c r="E48" s="350" t="str">
        <f>'Table 2'!$F$18</f>
        <v>(Tong, 2021)
(Global_Data_Lab, 2019)</v>
      </c>
      <c r="F48" s="387" t="s">
        <v>172</v>
      </c>
      <c r="G48" s="350" t="s">
        <v>153</v>
      </c>
      <c r="H48" s="350"/>
    </row>
    <row r="49" spans="1:8" ht="35.1" hidden="1" customHeight="1" outlineLevel="1">
      <c r="A49" s="385" t="s">
        <v>1524</v>
      </c>
      <c r="B49" s="386" t="s">
        <v>1525</v>
      </c>
      <c r="C49" s="361">
        <v>250</v>
      </c>
      <c r="D49" s="350" t="s">
        <v>1526</v>
      </c>
      <c r="E49" s="350" t="s">
        <v>1527</v>
      </c>
      <c r="F49" s="387" t="s">
        <v>1528</v>
      </c>
      <c r="G49" s="350" t="s">
        <v>1529</v>
      </c>
      <c r="H49" s="388"/>
    </row>
    <row r="50" spans="1:8" collapsed="1">
      <c r="B50" s="388"/>
      <c r="D50" s="388"/>
      <c r="E50" s="388"/>
      <c r="F50" s="388"/>
      <c r="G50" s="388"/>
      <c r="H50" s="388"/>
    </row>
    <row r="51" spans="1:8">
      <c r="B51" s="388"/>
      <c r="D51" s="388"/>
      <c r="E51" s="388"/>
      <c r="F51" s="388"/>
      <c r="G51" s="388"/>
      <c r="H51" s="388"/>
    </row>
    <row r="52" spans="1:8" ht="18.75">
      <c r="A52" s="374" t="s">
        <v>173</v>
      </c>
      <c r="B52" s="388"/>
      <c r="C52" s="381"/>
      <c r="D52" s="388"/>
      <c r="E52" s="388"/>
      <c r="F52" s="388"/>
      <c r="G52" s="388"/>
      <c r="H52" s="388"/>
    </row>
    <row r="53" spans="1:8" ht="45" hidden="1" outlineLevel="1">
      <c r="A53" s="42" t="s">
        <v>174</v>
      </c>
      <c r="B53" s="350" t="s">
        <v>175</v>
      </c>
      <c r="C53" s="361">
        <f>0.378</f>
        <v>0.378</v>
      </c>
      <c r="D53" s="350" t="s">
        <v>1584</v>
      </c>
      <c r="E53" s="350" t="s">
        <v>176</v>
      </c>
      <c r="F53" s="350">
        <v>2022</v>
      </c>
      <c r="G53" s="352" t="s">
        <v>177</v>
      </c>
      <c r="H53" s="350"/>
    </row>
    <row r="54" spans="1:8" ht="165" hidden="1" outlineLevel="1">
      <c r="A54" s="353" t="s">
        <v>178</v>
      </c>
      <c r="B54" s="350"/>
      <c r="C54" s="361">
        <f>(Mobility!B4-Mobility!B5)/Mobility!B5</f>
        <v>1.7272727272727273</v>
      </c>
      <c r="D54" s="350" t="s">
        <v>1585</v>
      </c>
      <c r="E54" s="350" t="s">
        <v>179</v>
      </c>
      <c r="F54" s="350"/>
      <c r="G54" s="350" t="s">
        <v>107</v>
      </c>
      <c r="H54" s="350"/>
    </row>
    <row r="55" spans="1:8" ht="165" hidden="1" outlineLevel="1">
      <c r="A55" s="353" t="s">
        <v>180</v>
      </c>
      <c r="B55" s="350"/>
      <c r="C55" s="361">
        <f>(Mobility!B7-Mobility!B8)/Mobility!B8</f>
        <v>0.31578947368421051</v>
      </c>
      <c r="D55" s="350" t="s">
        <v>1585</v>
      </c>
      <c r="E55" s="350" t="s">
        <v>179</v>
      </c>
      <c r="F55" s="350"/>
      <c r="G55" s="350" t="s">
        <v>107</v>
      </c>
      <c r="H55" s="350"/>
    </row>
    <row r="56" spans="1:8" ht="150" hidden="1" outlineLevel="1">
      <c r="A56" s="42" t="s">
        <v>181</v>
      </c>
      <c r="B56" s="349" t="s">
        <v>182</v>
      </c>
      <c r="C56" s="361">
        <f>'Table 2'!D15</f>
        <v>2834.9</v>
      </c>
      <c r="D56" s="350" t="str">
        <f>'Table 2'!E15</f>
        <v>(Figure Taken from paper) Reduction in mental health-related treatment costs such as costs of visits to a restructured hospital doctor, other private health workers, accident and emergency, and intermediate and long-term care services and productivity losses. The economic burden of mental disorders among adults in Singapore: evidence from the 2016 Singapore Mental Health Study (Abdin, 2021)</v>
      </c>
      <c r="E56" s="350" t="str">
        <f>'Table 2'!F15</f>
        <v>(Abdin, 2021)</v>
      </c>
      <c r="F56" s="350">
        <v>2021</v>
      </c>
      <c r="G56" s="350" t="s">
        <v>153</v>
      </c>
      <c r="H56" s="350"/>
    </row>
    <row r="57" spans="1:8" ht="30" hidden="1" outlineLevel="1">
      <c r="A57" s="42" t="s">
        <v>183</v>
      </c>
      <c r="B57" s="350" t="s">
        <v>184</v>
      </c>
      <c r="C57" s="361">
        <f>42.5*C7</f>
        <v>58.219178082191775</v>
      </c>
      <c r="D57" s="350" t="s">
        <v>185</v>
      </c>
      <c r="E57" s="350" t="s">
        <v>186</v>
      </c>
      <c r="F57" s="350">
        <v>2021</v>
      </c>
      <c r="G57" s="352" t="s">
        <v>187</v>
      </c>
      <c r="H57" s="350"/>
    </row>
    <row r="58" spans="1:8" ht="17.25" hidden="1" customHeight="1" outlineLevel="1">
      <c r="A58" s="42" t="s">
        <v>188</v>
      </c>
      <c r="B58" s="350"/>
      <c r="C58" s="361"/>
      <c r="D58" s="350"/>
      <c r="E58" s="350"/>
      <c r="F58" s="350"/>
      <c r="G58" s="352"/>
      <c r="H58" s="350"/>
    </row>
    <row r="59" spans="1:8" ht="17.25" hidden="1" customHeight="1" outlineLevel="1">
      <c r="A59" s="353" t="s">
        <v>189</v>
      </c>
      <c r="B59" s="350" t="s">
        <v>190</v>
      </c>
      <c r="C59" s="389">
        <f>32.5*1000000</f>
        <v>32500000</v>
      </c>
      <c r="D59" s="350" t="s">
        <v>191</v>
      </c>
      <c r="E59" s="350" t="s">
        <v>192</v>
      </c>
      <c r="F59" s="350">
        <v>2023</v>
      </c>
      <c r="G59" s="350"/>
      <c r="H59" s="350"/>
    </row>
    <row r="60" spans="1:8" ht="17.25" hidden="1" customHeight="1" outlineLevel="1">
      <c r="A60" s="353" t="s">
        <v>1462</v>
      </c>
      <c r="B60" s="350" t="s">
        <v>190</v>
      </c>
      <c r="C60" s="389">
        <f>5.7*1000000*1.36</f>
        <v>7752000.0000000009</v>
      </c>
      <c r="D60" s="350" t="s">
        <v>193</v>
      </c>
      <c r="E60" s="350"/>
      <c r="F60" s="350">
        <v>2021</v>
      </c>
      <c r="G60" s="350"/>
      <c r="H60" s="350"/>
    </row>
    <row r="61" spans="1:8" ht="17.25" hidden="1" customHeight="1" outlineLevel="1">
      <c r="A61" s="42" t="s">
        <v>194</v>
      </c>
      <c r="B61" s="362" t="s">
        <v>195</v>
      </c>
      <c r="C61" s="262">
        <f>4.79*C10</f>
        <v>0.9302180000000001</v>
      </c>
      <c r="D61" s="350"/>
      <c r="E61" t="s">
        <v>1562</v>
      </c>
      <c r="F61" s="362">
        <v>2022</v>
      </c>
      <c r="G61" s="343" t="s">
        <v>196</v>
      </c>
      <c r="H61" s="42"/>
    </row>
    <row r="62" spans="1:8" ht="17.25" hidden="1" customHeight="1" outlineLevel="1">
      <c r="A62" s="42" t="s">
        <v>197</v>
      </c>
      <c r="B62" s="362" t="s">
        <v>198</v>
      </c>
      <c r="C62" s="42">
        <f>5*52</f>
        <v>260</v>
      </c>
      <c r="D62" s="350" t="s">
        <v>199</v>
      </c>
      <c r="E62" s="42"/>
      <c r="F62" s="362"/>
      <c r="G62" s="42"/>
      <c r="H62" s="42"/>
    </row>
    <row r="63" spans="1:8" ht="17.25" hidden="1" customHeight="1" outlineLevel="1">
      <c r="A63" s="42" t="s">
        <v>200</v>
      </c>
      <c r="B63" s="362" t="s">
        <v>198</v>
      </c>
      <c r="C63" s="42">
        <f>52</f>
        <v>52</v>
      </c>
      <c r="D63" s="350" t="s">
        <v>201</v>
      </c>
      <c r="E63" s="42"/>
      <c r="F63" s="362"/>
      <c r="G63" s="42"/>
      <c r="H63" s="42"/>
    </row>
    <row r="64" spans="1:8" ht="17.25" hidden="1" customHeight="1" outlineLevel="1">
      <c r="A64" s="42" t="s">
        <v>202</v>
      </c>
      <c r="B64" s="362" t="s">
        <v>203</v>
      </c>
      <c r="C64" s="42">
        <f>(0.5*'Project Input'!B14+0.5*'Project Input'!B15)*2</f>
        <v>6.5</v>
      </c>
      <c r="D64" s="42" t="s">
        <v>204</v>
      </c>
      <c r="E64" s="42"/>
      <c r="F64" s="362"/>
      <c r="G64" s="42"/>
      <c r="H64" s="42"/>
    </row>
    <row r="65" spans="1:8" ht="17.25" hidden="1" customHeight="1" outlineLevel="1">
      <c r="A65" s="42" t="s">
        <v>205</v>
      </c>
      <c r="B65" s="362" t="s">
        <v>167</v>
      </c>
      <c r="C65" s="42">
        <v>10</v>
      </c>
      <c r="D65" s="350" t="s">
        <v>206</v>
      </c>
      <c r="E65" s="42" t="s">
        <v>207</v>
      </c>
      <c r="F65" s="362">
        <v>2022</v>
      </c>
      <c r="G65" s="343" t="s">
        <v>208</v>
      </c>
      <c r="H65" s="42"/>
    </row>
    <row r="66" spans="1:8" ht="17.25" hidden="1" customHeight="1" outlineLevel="1">
      <c r="A66" s="42" t="s">
        <v>209</v>
      </c>
      <c r="B66" s="362"/>
      <c r="C66" s="42"/>
      <c r="D66" s="42"/>
      <c r="E66" s="42"/>
      <c r="F66" s="362"/>
      <c r="G66" s="42"/>
      <c r="H66" s="42"/>
    </row>
    <row r="67" spans="1:8" ht="17.25" hidden="1" customHeight="1" outlineLevel="1">
      <c r="A67" s="42" t="s">
        <v>210</v>
      </c>
      <c r="B67" s="362" t="s">
        <v>190</v>
      </c>
      <c r="C67" s="262">
        <f>5.29*C10</f>
        <v>1.0273180000000002</v>
      </c>
      <c r="D67" s="350" t="s">
        <v>211</v>
      </c>
      <c r="E67" s="42" t="s">
        <v>212</v>
      </c>
      <c r="F67" s="362" t="s">
        <v>662</v>
      </c>
      <c r="G67" s="343" t="s">
        <v>196</v>
      </c>
      <c r="H67" s="42"/>
    </row>
    <row r="68" spans="1:8" ht="17.25" hidden="1" customHeight="1" outlineLevel="1">
      <c r="A68" s="42" t="s">
        <v>213</v>
      </c>
      <c r="B68" s="362" t="s">
        <v>167</v>
      </c>
      <c r="C68" s="262">
        <f>39.3*C65/100</f>
        <v>3.93</v>
      </c>
      <c r="D68" s="42" t="s">
        <v>214</v>
      </c>
      <c r="E68" s="42" t="s">
        <v>215</v>
      </c>
      <c r="F68" s="362">
        <v>2021</v>
      </c>
      <c r="G68" s="343" t="s">
        <v>216</v>
      </c>
      <c r="H68" s="42"/>
    </row>
    <row r="69" spans="1:8" ht="17.25" hidden="1" customHeight="1" outlineLevel="1">
      <c r="A69" s="42" t="s">
        <v>217</v>
      </c>
      <c r="B69" s="362" t="s">
        <v>203</v>
      </c>
      <c r="C69" s="262">
        <v>3.2</v>
      </c>
      <c r="D69" s="42"/>
      <c r="E69" s="42"/>
      <c r="F69" s="362"/>
      <c r="G69" s="42"/>
      <c r="H69" s="42"/>
    </row>
    <row r="70" spans="1:8" hidden="1" outlineLevel="1">
      <c r="A70" s="42" t="s">
        <v>218</v>
      </c>
      <c r="B70" s="350" t="s">
        <v>203</v>
      </c>
      <c r="C70" s="361">
        <v>5.7</v>
      </c>
      <c r="D70" s="350"/>
      <c r="E70" s="350"/>
      <c r="F70" s="350"/>
      <c r="G70" s="350"/>
      <c r="H70" s="350"/>
    </row>
    <row r="71" spans="1:8" hidden="1" outlineLevel="1">
      <c r="A71" s="42" t="s">
        <v>219</v>
      </c>
      <c r="B71" s="362" t="s">
        <v>167</v>
      </c>
      <c r="C71" s="42">
        <f>(1.87-1.28)/1.28*0.82*100</f>
        <v>37.796875</v>
      </c>
      <c r="D71" s="42" t="s">
        <v>1582</v>
      </c>
      <c r="E71" t="s">
        <v>1583</v>
      </c>
      <c r="F71" s="350">
        <v>2005</v>
      </c>
      <c r="G71" s="390" t="s">
        <v>1581</v>
      </c>
      <c r="H71" s="350"/>
    </row>
    <row r="72" spans="1:8" ht="60" hidden="1" outlineLevel="1">
      <c r="A72" s="42" t="s">
        <v>220</v>
      </c>
      <c r="B72" s="362"/>
      <c r="C72" s="42">
        <f>((25-19)+(30-11))/(30+25)</f>
        <v>0.45454545454545453</v>
      </c>
      <c r="D72" s="350" t="s">
        <v>221</v>
      </c>
      <c r="E72" t="s">
        <v>385</v>
      </c>
      <c r="G72" s="350"/>
      <c r="H72" s="350"/>
    </row>
    <row r="73" spans="1:8" ht="75" hidden="1" outlineLevel="1">
      <c r="A73" s="42" t="s">
        <v>1463</v>
      </c>
      <c r="B73" s="362" t="s">
        <v>1464</v>
      </c>
      <c r="C73" s="391">
        <f>6.6/60/C9*1.72</f>
        <v>0.15135999999999999</v>
      </c>
      <c r="D73" s="350" t="s">
        <v>1465</v>
      </c>
      <c r="E73" s="350" t="s">
        <v>1466</v>
      </c>
      <c r="F73" s="350">
        <v>2002</v>
      </c>
      <c r="G73" s="352" t="s">
        <v>1467</v>
      </c>
      <c r="H73" s="350"/>
    </row>
    <row r="74" spans="1:8" hidden="1" outlineLevel="1">
      <c r="A74" s="42" t="s">
        <v>222</v>
      </c>
      <c r="B74" s="362" t="s">
        <v>223</v>
      </c>
      <c r="C74" s="42">
        <v>1</v>
      </c>
      <c r="D74" s="350"/>
      <c r="E74" s="42" t="s">
        <v>212</v>
      </c>
      <c r="F74" s="362" t="s">
        <v>662</v>
      </c>
      <c r="G74" s="343" t="s">
        <v>196</v>
      </c>
      <c r="H74" s="350"/>
    </row>
    <row r="75" spans="1:8" collapsed="1">
      <c r="C75" s="392"/>
      <c r="D75" s="388"/>
      <c r="E75" s="388"/>
      <c r="F75" s="388"/>
      <c r="G75" s="388"/>
      <c r="H75" s="388"/>
    </row>
    <row r="76" spans="1:8" ht="18.75">
      <c r="A76" s="3" t="s">
        <v>224</v>
      </c>
    </row>
    <row r="77" spans="1:8" hidden="1" outlineLevel="1">
      <c r="A77" s="51" t="s">
        <v>225</v>
      </c>
      <c r="B77" s="357" t="s">
        <v>58</v>
      </c>
      <c r="C77" s="264">
        <v>126634000</v>
      </c>
      <c r="D77" s="357"/>
      <c r="E77" s="357" t="s">
        <v>226</v>
      </c>
      <c r="F77" s="357" t="s">
        <v>226</v>
      </c>
      <c r="G77" s="350" t="s">
        <v>107</v>
      </c>
      <c r="H77" s="42"/>
    </row>
    <row r="78" spans="1:8" hidden="1" outlineLevel="1">
      <c r="A78" s="51" t="s">
        <v>227</v>
      </c>
      <c r="B78" s="357" t="s">
        <v>58</v>
      </c>
      <c r="C78" s="264">
        <v>127667000</v>
      </c>
      <c r="D78" s="357"/>
      <c r="E78" s="357" t="s">
        <v>226</v>
      </c>
      <c r="F78" s="357" t="s">
        <v>226</v>
      </c>
      <c r="G78" s="350" t="s">
        <v>107</v>
      </c>
      <c r="H78" s="42"/>
    </row>
    <row r="79" spans="1:8" hidden="1" outlineLevel="1">
      <c r="A79" s="51" t="s">
        <v>228</v>
      </c>
      <c r="B79" s="357" t="s">
        <v>58</v>
      </c>
      <c r="C79" s="264">
        <v>59866000</v>
      </c>
      <c r="D79" s="357"/>
      <c r="E79" s="357" t="s">
        <v>226</v>
      </c>
      <c r="F79" s="357" t="s">
        <v>226</v>
      </c>
      <c r="G79" s="350" t="s">
        <v>107</v>
      </c>
      <c r="H79" s="42"/>
    </row>
    <row r="80" spans="1:8" hidden="1" outlineLevel="1">
      <c r="A80" s="51" t="s">
        <v>229</v>
      </c>
      <c r="B80" s="357" t="s">
        <v>58</v>
      </c>
      <c r="C80" s="264">
        <v>17776000</v>
      </c>
      <c r="D80" s="357"/>
      <c r="E80" s="357" t="s">
        <v>226</v>
      </c>
      <c r="F80" s="357" t="s">
        <v>226</v>
      </c>
      <c r="G80" s="350" t="s">
        <v>107</v>
      </c>
      <c r="H80" s="42"/>
    </row>
    <row r="81" spans="1:8" ht="90" hidden="1" outlineLevel="1">
      <c r="A81" s="51" t="s">
        <v>230</v>
      </c>
      <c r="B81" s="357" t="s">
        <v>138</v>
      </c>
      <c r="C81" s="264">
        <f>AVERAGE(2445,2595)</f>
        <v>2520</v>
      </c>
      <c r="D81" s="357" t="s">
        <v>231</v>
      </c>
      <c r="E81" s="357" t="s">
        <v>232</v>
      </c>
      <c r="F81" s="357">
        <v>2022</v>
      </c>
      <c r="G81" s="350" t="s">
        <v>107</v>
      </c>
      <c r="H81" s="42"/>
    </row>
    <row r="82" spans="1:8" ht="30" hidden="1" outlineLevel="1">
      <c r="A82" s="51" t="s">
        <v>233</v>
      </c>
      <c r="B82" s="357" t="s">
        <v>138</v>
      </c>
      <c r="C82" s="264">
        <f>2100*1.026911088</f>
        <v>2156.5132848000003</v>
      </c>
      <c r="D82" s="357" t="s">
        <v>234</v>
      </c>
      <c r="E82" s="357" t="s">
        <v>235</v>
      </c>
      <c r="F82" s="357">
        <v>2018</v>
      </c>
      <c r="G82" s="350" t="s">
        <v>107</v>
      </c>
      <c r="H82" s="42"/>
    </row>
    <row r="83" spans="1:8" hidden="1" outlineLevel="1">
      <c r="A83" s="51" t="s">
        <v>236</v>
      </c>
      <c r="B83" s="357" t="s">
        <v>58</v>
      </c>
      <c r="C83" s="264">
        <v>340904675</v>
      </c>
      <c r="D83" s="357" t="s">
        <v>237</v>
      </c>
      <c r="E83" s="357"/>
      <c r="F83" s="357"/>
      <c r="G83" s="350" t="s">
        <v>107</v>
      </c>
      <c r="H83" s="42"/>
    </row>
    <row r="84" spans="1:8" hidden="1" outlineLevel="1">
      <c r="A84" s="51" t="s">
        <v>238</v>
      </c>
      <c r="B84" s="357" t="s">
        <v>239</v>
      </c>
      <c r="C84" s="264">
        <v>130982800</v>
      </c>
      <c r="D84" s="357" t="s">
        <v>240</v>
      </c>
      <c r="E84" s="357" t="s">
        <v>241</v>
      </c>
      <c r="F84" s="357">
        <v>2021</v>
      </c>
      <c r="G84" s="350" t="s">
        <v>107</v>
      </c>
      <c r="H84" s="42"/>
    </row>
    <row r="85" spans="1:8" hidden="1" outlineLevel="1">
      <c r="A85" s="51" t="s">
        <v>242</v>
      </c>
      <c r="B85" s="357" t="s">
        <v>138</v>
      </c>
      <c r="C85" s="264">
        <f>C83/C84</f>
        <v>2.6026674876395983</v>
      </c>
      <c r="D85" s="357" t="s">
        <v>240</v>
      </c>
      <c r="E85" s="357" t="s">
        <v>241</v>
      </c>
      <c r="F85" s="357">
        <v>2021</v>
      </c>
      <c r="G85" s="350" t="s">
        <v>107</v>
      </c>
      <c r="H85" s="42"/>
    </row>
    <row r="86" spans="1:8" hidden="1" outlineLevel="1">
      <c r="A86" s="51" t="s">
        <v>243</v>
      </c>
      <c r="B86" s="362" t="s">
        <v>244</v>
      </c>
      <c r="C86" s="393">
        <f>(60000000/62)/10000</f>
        <v>96.774193548387089</v>
      </c>
      <c r="D86" s="42"/>
      <c r="E86" s="357" t="s">
        <v>245</v>
      </c>
      <c r="F86" s="362">
        <v>2015</v>
      </c>
      <c r="G86" s="343" t="s">
        <v>246</v>
      </c>
      <c r="H86" s="42"/>
    </row>
    <row r="87" spans="1:8" collapsed="1"/>
    <row r="88" spans="1:8" ht="18.75">
      <c r="A88" s="3" t="s">
        <v>247</v>
      </c>
      <c r="C88" s="252"/>
    </row>
    <row r="89" spans="1:8" hidden="1" outlineLevel="1">
      <c r="A89" s="42" t="s">
        <v>248</v>
      </c>
      <c r="B89" s="362" t="s">
        <v>249</v>
      </c>
      <c r="C89" s="362">
        <f>'Project Input'!B12-'Project Input'!B13</f>
        <v>314.38195572625693</v>
      </c>
      <c r="D89" s="42"/>
      <c r="E89" s="42"/>
      <c r="F89" s="42"/>
      <c r="G89" s="42"/>
      <c r="H89" s="42"/>
    </row>
    <row r="90" spans="1:8" hidden="1" outlineLevel="1">
      <c r="A90" s="42" t="s">
        <v>250</v>
      </c>
      <c r="B90" s="362" t="s">
        <v>167</v>
      </c>
      <c r="C90" s="362">
        <v>26</v>
      </c>
      <c r="D90" s="42" t="s">
        <v>251</v>
      </c>
      <c r="E90" s="42" t="s">
        <v>1573</v>
      </c>
      <c r="F90" s="362">
        <v>2022</v>
      </c>
      <c r="G90" s="343" t="s">
        <v>252</v>
      </c>
      <c r="H90" s="42"/>
    </row>
    <row r="91" spans="1:8" hidden="1" outlineLevel="1">
      <c r="A91" s="42" t="s">
        <v>253</v>
      </c>
      <c r="B91" s="362" t="s">
        <v>254</v>
      </c>
      <c r="C91" s="362">
        <f>(49-35)/0.5/100/1609.34</f>
        <v>1.7398436626194592E-4</v>
      </c>
      <c r="D91" s="42" t="s">
        <v>255</v>
      </c>
      <c r="E91" s="42" t="s">
        <v>1560</v>
      </c>
      <c r="F91" s="362">
        <v>2007</v>
      </c>
      <c r="G91" s="343" t="s">
        <v>256</v>
      </c>
      <c r="H91" s="42"/>
    </row>
    <row r="92" spans="1:8" hidden="1" outlineLevel="1">
      <c r="A92" s="42" t="s">
        <v>257</v>
      </c>
      <c r="B92" s="362" t="s">
        <v>167</v>
      </c>
      <c r="C92" s="362">
        <v>56</v>
      </c>
      <c r="D92" s="42"/>
      <c r="E92" s="42" t="s">
        <v>258</v>
      </c>
      <c r="F92" s="42">
        <v>2019</v>
      </c>
      <c r="G92" s="362" t="s">
        <v>259</v>
      </c>
      <c r="H92" s="42"/>
    </row>
    <row r="93" spans="1:8" hidden="1" outlineLevel="1">
      <c r="A93" s="42" t="s">
        <v>260</v>
      </c>
      <c r="B93" s="362"/>
      <c r="C93" s="362">
        <v>0.03</v>
      </c>
      <c r="D93" s="42" t="s">
        <v>261</v>
      </c>
      <c r="E93" s="42" t="s">
        <v>1572</v>
      </c>
      <c r="F93" s="42">
        <v>2021</v>
      </c>
      <c r="G93" s="343" t="s">
        <v>262</v>
      </c>
      <c r="H93" s="42"/>
    </row>
    <row r="94" spans="1:8" hidden="1" outlineLevel="1">
      <c r="A94" s="42" t="s">
        <v>263</v>
      </c>
      <c r="B94" s="362"/>
      <c r="C94" s="42">
        <f>0.05+0.09</f>
        <v>0.14000000000000001</v>
      </c>
      <c r="D94" s="42" t="s">
        <v>264</v>
      </c>
      <c r="E94" s="42" t="s">
        <v>1572</v>
      </c>
      <c r="F94" s="42">
        <v>2021</v>
      </c>
      <c r="G94" s="343" t="s">
        <v>262</v>
      </c>
      <c r="H94" s="42"/>
    </row>
    <row r="95" spans="1:8" hidden="1" outlineLevel="1">
      <c r="A95" s="42" t="s">
        <v>265</v>
      </c>
      <c r="B95" s="362"/>
      <c r="C95" s="42">
        <v>0.08</v>
      </c>
      <c r="D95" s="42" t="s">
        <v>264</v>
      </c>
      <c r="E95" s="42" t="s">
        <v>1572</v>
      </c>
      <c r="F95" s="42">
        <v>2021</v>
      </c>
      <c r="G95" s="42" t="s">
        <v>262</v>
      </c>
      <c r="H95" s="42"/>
    </row>
    <row r="96" spans="1:8" hidden="1" outlineLevel="1">
      <c r="A96" s="42" t="s">
        <v>266</v>
      </c>
      <c r="B96" s="362"/>
      <c r="C96" s="42">
        <v>0.28999999999999998</v>
      </c>
      <c r="D96" s="42" t="s">
        <v>264</v>
      </c>
      <c r="E96" s="42" t="s">
        <v>1572</v>
      </c>
      <c r="F96" s="42">
        <v>2021</v>
      </c>
      <c r="G96" s="42" t="s">
        <v>262</v>
      </c>
      <c r="H96" s="42"/>
    </row>
    <row r="97" spans="1:8" hidden="1" outlineLevel="1">
      <c r="A97" s="42" t="s">
        <v>267</v>
      </c>
      <c r="B97" s="362" t="s">
        <v>167</v>
      </c>
      <c r="C97" s="42">
        <f>25-8.3+12.5-6.1</f>
        <v>23.1</v>
      </c>
      <c r="D97" s="42" t="s">
        <v>1570</v>
      </c>
      <c r="E97" s="42" t="s">
        <v>1572</v>
      </c>
      <c r="F97" s="42">
        <v>2021</v>
      </c>
      <c r="G97" s="343" t="s">
        <v>1569</v>
      </c>
      <c r="H97" s="42"/>
    </row>
    <row r="98" spans="1:8" hidden="1" outlineLevel="1">
      <c r="A98" s="42" t="s">
        <v>268</v>
      </c>
      <c r="B98" s="362" t="s">
        <v>167</v>
      </c>
      <c r="C98" s="42">
        <f>20.2-13.6+10.7-7.6</f>
        <v>9.6999999999999975</v>
      </c>
      <c r="D98" s="42" t="s">
        <v>1568</v>
      </c>
      <c r="E98" s="42" t="s">
        <v>1571</v>
      </c>
      <c r="F98" s="362">
        <v>2022</v>
      </c>
      <c r="G98" s="343" t="s">
        <v>1567</v>
      </c>
      <c r="H98" s="42"/>
    </row>
    <row r="99" spans="1:8" hidden="1" outlineLevel="1">
      <c r="A99" s="42" t="s">
        <v>269</v>
      </c>
      <c r="B99" s="362" t="s">
        <v>167</v>
      </c>
      <c r="C99" s="42">
        <v>12</v>
      </c>
      <c r="D99" s="42"/>
      <c r="E99" s="42" t="s">
        <v>270</v>
      </c>
      <c r="F99" s="362">
        <v>2023</v>
      </c>
      <c r="G99" s="343" t="s">
        <v>271</v>
      </c>
      <c r="H99" s="42"/>
    </row>
    <row r="100" spans="1:8" ht="255" hidden="1" outlineLevel="1">
      <c r="A100" s="42" t="s">
        <v>272</v>
      </c>
      <c r="B100" s="362" t="s">
        <v>167</v>
      </c>
      <c r="C100" s="42">
        <f>(0.5*25+0.5*36)</f>
        <v>30.5</v>
      </c>
      <c r="D100" s="61" t="s">
        <v>273</v>
      </c>
      <c r="E100" s="394" t="s">
        <v>1561</v>
      </c>
      <c r="F100" s="362">
        <v>2019</v>
      </c>
      <c r="G100" s="343" t="s">
        <v>274</v>
      </c>
      <c r="H100" s="42"/>
    </row>
    <row r="101" spans="1:8" collapsed="1"/>
    <row r="108" spans="1:8">
      <c r="A108" s="252"/>
    </row>
  </sheetData>
  <hyperlinks>
    <hyperlink ref="G16" r:id="rId1" xr:uid="{4E402320-6216-47A4-8E47-0FFC553CF9BF}"/>
    <hyperlink ref="G17" r:id="rId2" xr:uid="{FEBCDF03-1B3D-495C-96EA-9D4CC4450883}"/>
    <hyperlink ref="G15" r:id="rId3" xr:uid="{6736D453-6A31-4FA6-8357-9493B9AE0453}"/>
    <hyperlink ref="G46" r:id="rId4" xr:uid="{33A8C452-B76F-384F-A8B4-BD9C87E7ED77}"/>
    <hyperlink ref="H46" r:id="rId5" xr:uid="{D034B46C-E6D4-4B45-B17F-EC5C4208CA62}"/>
    <hyperlink ref="G53" r:id="rId6" xr:uid="{C2097184-5F25-E54C-AF0E-DCDD6DD58384}"/>
    <hyperlink ref="G27" r:id="rId7" xr:uid="{E075C495-6185-435C-B9DE-81AADE5B8DC7}"/>
    <hyperlink ref="G7" r:id="rId8" xr:uid="{57315748-7ABD-184C-AD5F-3DAC76B2491A}"/>
    <hyperlink ref="G57" r:id="rId9" location=":~:text=Higher%20mental%20well%2Dbeing%20(on,41.9%2C%20%24%E2%88%92%204.3)%20per" xr:uid="{0EB09CC7-812A-B248-9CE8-847EE699E72F}"/>
    <hyperlink ref="G5" r:id="rId10" xr:uid="{8C54D280-12D3-3140-88E4-2F3775CAD9D0}"/>
    <hyperlink ref="G86" r:id="rId11" xr:uid="{6FC3C8AA-017D-402C-A080-2917D5BA4C47}"/>
    <hyperlink ref="G33" r:id="rId12" xr:uid="{AE8F7437-C66B-9C46-A2A3-D7769D56582A}"/>
    <hyperlink ref="G18" r:id="rId13" xr:uid="{E40EEE57-3610-4235-82EF-56F5A9D830A2}"/>
    <hyperlink ref="G10" r:id="rId14" xr:uid="{B874B701-95F6-3B47-8D8B-2376F4057097}"/>
    <hyperlink ref="G67" r:id="rId15" xr:uid="{88C147D5-8128-4541-B363-85F8221F6ABB}"/>
    <hyperlink ref="G74" r:id="rId16" xr:uid="{B33033E6-7C2D-A34C-BD2A-36AAED4928A0}"/>
    <hyperlink ref="G19" r:id="rId17" xr:uid="{DDC26583-8029-4AE4-95C1-B1EA65934464}"/>
    <hyperlink ref="G94" r:id="rId18" xr:uid="{AE791E4E-C358-4DE3-886E-43330AA12698}"/>
    <hyperlink ref="G91" r:id="rId19" xr:uid="{02BAF091-A22F-4DD1-B956-6D30902BC937}"/>
    <hyperlink ref="G90" r:id="rId20" xr:uid="{04279377-AA5C-304D-940E-DC26F6651AE7}"/>
    <hyperlink ref="G30" r:id="rId21" location=":~:text=Basic%20Calculation%3A&amp;text=In%20most%20cases%20it%20works,x%200.05%20%3D%20recommended%20tank%20size." xr:uid="{E531AA97-D97A-D045-B807-FF86F348639E}"/>
    <hyperlink ref="G99" r:id="rId22" location=":~:text=Being%20happy%20and%20fulfilled%20at,work%20increased%20productivity%20by%2012%25." xr:uid="{EA7EBB1A-5215-994B-A4A7-26B1EF45C562}"/>
    <hyperlink ref="G100" r:id="rId23" xr:uid="{15B3D295-A44D-554E-9006-8D1FEC239F72}"/>
    <hyperlink ref="G61" r:id="rId24" xr:uid="{30568D5E-0590-1D4D-A4ED-CFD58811E28D}"/>
    <hyperlink ref="G98" r:id="rId25" xr:uid="{DD5ABD50-8616-494A-BBEA-34BF5BBAAF13}"/>
    <hyperlink ref="G93" r:id="rId26" xr:uid="{E04CFDD5-6FDE-8549-97AB-1276CA90A993}"/>
    <hyperlink ref="G36" r:id="rId27" xr:uid="{690F51A0-11AC-C346-8046-AA91CC44F33E}"/>
    <hyperlink ref="G35" r:id="rId28" xr:uid="{D18A4647-A437-424A-8C80-AC396F690824}"/>
    <hyperlink ref="G34" r:id="rId29" xr:uid="{372974A8-F71B-394D-BFB9-358FBFC5D88C}"/>
    <hyperlink ref="G23" r:id="rId30" location=":~:text=Under%20ECIS%2C%20solar%20energy%20surplus,a%20low%20of%20%240.0876%2FkWh!" xr:uid="{8E09CE2B-8C7B-4E46-BE56-F05AD329676B}"/>
    <hyperlink ref="G22" r:id="rId31" xr:uid="{DFE7BC70-3BC1-1448-8332-C0E79E74B2DB}"/>
    <hyperlink ref="G71" r:id="rId32" xr:uid="{8FA0E63C-0D5C-024E-A5AA-3C47B7EF6BF1}"/>
    <hyperlink ref="G21" r:id="rId33" location="b0270" xr:uid="{624A418F-CA60-0348-88E2-51C7EC7A73F1}"/>
    <hyperlink ref="G68" r:id="rId34" location=":~:text=The%20proportion%20of%20those%20who,travelled%20to%20work%20and%20school." xr:uid="{1C3DE1F2-1D6B-9E44-8BC7-D1610310C38C}"/>
    <hyperlink ref="G65" r:id="rId35" xr:uid="{456B250D-FEC8-4146-A1DF-97F1E49DD632}"/>
    <hyperlink ref="G73" r:id="rId36" xr:uid="{99047542-5AFB-9F42-94C9-DF2F40D773F2}"/>
  </hyperlinks>
  <pageMargins left="0.7" right="0.7" top="0.75" bottom="0.75" header="0.3" footer="0.3"/>
  <legacyDrawing r:id="rId3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3617-D2AB-4016-8401-834CA85B1BF0}">
  <sheetPr filterMode="1"/>
  <dimension ref="B1:Q132"/>
  <sheetViews>
    <sheetView showGridLines="0" tabSelected="1" zoomScale="90" zoomScaleNormal="90" workbookViewId="0">
      <pane xSplit="4" ySplit="3" topLeftCell="E10" activePane="bottomRight" state="frozen"/>
      <selection pane="topRight" activeCell="E1" sqref="E1"/>
      <selection pane="bottomLeft" activeCell="A4" sqref="A4"/>
      <selection pane="bottomRight" activeCell="H15" sqref="H15"/>
    </sheetView>
  </sheetViews>
  <sheetFormatPr defaultColWidth="8.85546875" defaultRowHeight="15" outlineLevelCol="1"/>
  <cols>
    <col min="1" max="1" width="1.42578125" customWidth="1"/>
    <col min="2" max="2" width="4.7109375" customWidth="1"/>
    <col min="3" max="3" width="34.85546875" customWidth="1"/>
    <col min="4" max="4" width="15.85546875" bestFit="1" customWidth="1"/>
    <col min="5" max="5" width="28.7109375" bestFit="1" customWidth="1"/>
    <col min="6" max="6" width="36.7109375" style="44" bestFit="1" customWidth="1"/>
    <col min="7" max="7" width="19" style="44" customWidth="1"/>
    <col min="8" max="8" width="66.42578125" bestFit="1" customWidth="1"/>
    <col min="9" max="11" width="12.7109375" hidden="1" customWidth="1" outlineLevel="1"/>
    <col min="12" max="12" width="15.28515625" hidden="1" customWidth="1" outlineLevel="1"/>
    <col min="13" max="13" width="16" hidden="1" customWidth="1" outlineLevel="1"/>
    <col min="14" max="15" width="12.7109375" hidden="1" customWidth="1" outlineLevel="1"/>
    <col min="16" max="16" width="17.85546875" bestFit="1" customWidth="1" collapsed="1"/>
    <col min="17" max="17" width="29.85546875" customWidth="1"/>
  </cols>
  <sheetData>
    <row r="1" spans="2:17" ht="15.75" thickBot="1"/>
    <row r="2" spans="2:17" ht="36.75" customHeight="1">
      <c r="B2" s="320" t="s">
        <v>353</v>
      </c>
      <c r="C2" s="321"/>
      <c r="D2" s="321"/>
      <c r="E2" s="322"/>
      <c r="F2" s="323"/>
      <c r="G2" s="323"/>
      <c r="H2" s="321"/>
      <c r="I2" s="321"/>
      <c r="J2" s="321"/>
      <c r="K2" s="321"/>
      <c r="L2" s="321"/>
      <c r="M2" s="321"/>
      <c r="N2" s="321"/>
      <c r="O2" s="321"/>
      <c r="P2" s="321"/>
      <c r="Q2" s="324"/>
    </row>
    <row r="3" spans="2:17" ht="18.75">
      <c r="B3" s="268" t="s">
        <v>354</v>
      </c>
      <c r="C3" s="266" t="s">
        <v>355</v>
      </c>
      <c r="D3" s="266" t="s">
        <v>356</v>
      </c>
      <c r="E3" s="266" t="s">
        <v>357</v>
      </c>
      <c r="F3" s="267" t="s">
        <v>358</v>
      </c>
      <c r="G3" s="267" t="s">
        <v>1434</v>
      </c>
      <c r="H3" s="266" t="s">
        <v>359</v>
      </c>
      <c r="I3" s="266" t="s">
        <v>360</v>
      </c>
      <c r="J3" s="266" t="s">
        <v>361</v>
      </c>
      <c r="K3" s="266" t="s">
        <v>362</v>
      </c>
      <c r="L3" s="266" t="s">
        <v>363</v>
      </c>
      <c r="M3" s="266" t="s">
        <v>364</v>
      </c>
      <c r="N3" s="266" t="s">
        <v>1557</v>
      </c>
      <c r="O3" s="266" t="s">
        <v>1558</v>
      </c>
      <c r="P3" s="266" t="s">
        <v>365</v>
      </c>
      <c r="Q3" s="269" t="s">
        <v>366</v>
      </c>
    </row>
    <row r="4" spans="2:17" ht="30" hidden="1">
      <c r="B4" s="46">
        <v>1</v>
      </c>
      <c r="C4" s="47" t="s">
        <v>367</v>
      </c>
      <c r="D4" s="43" t="s">
        <v>368</v>
      </c>
      <c r="E4" s="42" t="s">
        <v>400</v>
      </c>
      <c r="F4" s="43" t="s">
        <v>369</v>
      </c>
      <c r="G4" s="43" t="s">
        <v>1555</v>
      </c>
      <c r="H4" s="45" t="s">
        <v>370</v>
      </c>
      <c r="I4" s="45"/>
      <c r="J4" s="45"/>
      <c r="K4" s="45"/>
      <c r="L4" s="45"/>
      <c r="M4" s="45"/>
      <c r="N4" s="45"/>
      <c r="O4" s="45"/>
      <c r="P4" s="63">
        <f>'Project Input'!B53*'Financial Proxies'!C27</f>
        <v>2188545.48</v>
      </c>
      <c r="Q4" s="49" t="s">
        <v>371</v>
      </c>
    </row>
    <row r="5" spans="2:17" ht="30" hidden="1">
      <c r="B5" s="46">
        <v>2</v>
      </c>
      <c r="C5" s="47" t="s">
        <v>372</v>
      </c>
      <c r="D5" s="43" t="s">
        <v>368</v>
      </c>
      <c r="E5" s="42" t="s">
        <v>1564</v>
      </c>
      <c r="F5" s="43" t="s">
        <v>369</v>
      </c>
      <c r="G5" s="43" t="s">
        <v>1555</v>
      </c>
      <c r="H5" s="47" t="s">
        <v>373</v>
      </c>
      <c r="I5" s="47"/>
      <c r="J5" s="47"/>
      <c r="K5" s="47"/>
      <c r="L5" s="47"/>
      <c r="M5" s="47"/>
      <c r="N5" s="47"/>
      <c r="O5" s="47"/>
      <c r="P5" s="63">
        <f>('Project Input'!B54+'Project Input'!B55)*'Financial Proxies'!C27</f>
        <v>4422376.4400000004</v>
      </c>
      <c r="Q5" s="49" t="s">
        <v>371</v>
      </c>
    </row>
    <row r="6" spans="2:17" ht="58.5" hidden="1" customHeight="1">
      <c r="B6" s="46">
        <v>3</v>
      </c>
      <c r="C6" s="47" t="s">
        <v>374</v>
      </c>
      <c r="D6" s="43" t="s">
        <v>368</v>
      </c>
      <c r="E6" s="42" t="s">
        <v>1564</v>
      </c>
      <c r="F6" s="43" t="s">
        <v>375</v>
      </c>
      <c r="G6" s="43"/>
      <c r="H6" s="51" t="s">
        <v>376</v>
      </c>
      <c r="I6" s="384"/>
      <c r="J6" s="384"/>
      <c r="K6" s="384"/>
      <c r="L6" s="384"/>
      <c r="M6" s="384"/>
      <c r="N6" s="384"/>
      <c r="O6" s="384"/>
      <c r="P6" s="63">
        <f>('Project Input'!B53+'Project Input'!B54)*'Financial Proxies'!C39*'Financial Proxies'!C15+('Project Input'!B4*'Project Input'!B56)*'Financial Proxies'!C38</f>
        <v>555277.8332438051</v>
      </c>
      <c r="Q6" s="49" t="s">
        <v>371</v>
      </c>
    </row>
    <row r="7" spans="2:17" ht="58.5" hidden="1" customHeight="1">
      <c r="B7" s="46">
        <v>4</v>
      </c>
      <c r="C7" s="47" t="s">
        <v>377</v>
      </c>
      <c r="D7" s="43" t="s">
        <v>368</v>
      </c>
      <c r="E7" s="42" t="s">
        <v>1564</v>
      </c>
      <c r="F7" s="43" t="s">
        <v>378</v>
      </c>
      <c r="G7" s="43"/>
      <c r="H7" s="51" t="s">
        <v>379</v>
      </c>
      <c r="I7" s="384"/>
      <c r="J7" s="384"/>
      <c r="K7" s="384"/>
      <c r="L7" s="384"/>
      <c r="M7" s="384"/>
      <c r="N7" s="384"/>
      <c r="O7" s="384"/>
      <c r="P7" s="63">
        <f>'Project Input'!B4*'Project Input'!B56*'Financial Proxies'!C37</f>
        <v>878994.89536324027</v>
      </c>
      <c r="Q7" s="49" t="s">
        <v>380</v>
      </c>
    </row>
    <row r="8" spans="2:17" ht="58.5" hidden="1" customHeight="1">
      <c r="B8" s="46">
        <v>5</v>
      </c>
      <c r="C8" s="47" t="s">
        <v>381</v>
      </c>
      <c r="D8" s="43" t="s">
        <v>368</v>
      </c>
      <c r="E8" s="42" t="s">
        <v>1564</v>
      </c>
      <c r="F8" s="43" t="s">
        <v>375</v>
      </c>
      <c r="G8" s="43"/>
      <c r="H8" s="51" t="s">
        <v>1589</v>
      </c>
      <c r="I8" s="384"/>
      <c r="J8" s="384"/>
      <c r="K8" s="384"/>
      <c r="L8" s="384"/>
      <c r="M8" s="384"/>
      <c r="N8" s="384"/>
      <c r="O8" s="384"/>
      <c r="P8" s="63">
        <f>'Project Input'!B55*'Financial Proxies'!C28</f>
        <v>603501.89294524491</v>
      </c>
      <c r="Q8" s="49" t="s">
        <v>371</v>
      </c>
    </row>
    <row r="9" spans="2:17" ht="58.5" hidden="1" customHeight="1">
      <c r="B9" s="46">
        <v>6</v>
      </c>
      <c r="C9" s="47" t="s">
        <v>382</v>
      </c>
      <c r="D9" s="43" t="s">
        <v>368</v>
      </c>
      <c r="E9" s="42" t="s">
        <v>1564</v>
      </c>
      <c r="F9" s="43" t="s">
        <v>378</v>
      </c>
      <c r="G9" s="43"/>
      <c r="H9" s="51" t="s">
        <v>1590</v>
      </c>
      <c r="I9" s="384"/>
      <c r="J9" s="384"/>
      <c r="K9" s="384"/>
      <c r="L9" s="384"/>
      <c r="M9" s="384"/>
      <c r="N9" s="384"/>
      <c r="O9" s="384"/>
      <c r="P9" s="63">
        <f>'Project Input'!B55*'Financial Proxies'!C29</f>
        <v>23749574.492962882</v>
      </c>
      <c r="Q9" s="49" t="s">
        <v>380</v>
      </c>
    </row>
    <row r="10" spans="2:17" ht="39.75" customHeight="1">
      <c r="B10" s="46">
        <v>7</v>
      </c>
      <c r="C10" s="367" t="s">
        <v>383</v>
      </c>
      <c r="D10" s="43" t="s">
        <v>384</v>
      </c>
      <c r="E10" s="42" t="s">
        <v>1564</v>
      </c>
      <c r="F10" s="43" t="s">
        <v>378</v>
      </c>
      <c r="G10" s="43"/>
      <c r="H10" s="51" t="s">
        <v>1593</v>
      </c>
      <c r="I10" s="42" t="s">
        <v>385</v>
      </c>
      <c r="J10" s="42"/>
      <c r="K10" s="42"/>
      <c r="L10" s="42"/>
      <c r="M10" s="42"/>
      <c r="N10" s="42"/>
      <c r="O10" s="404"/>
      <c r="P10" s="63">
        <f>'Project Input'!B32*'Financial Proxies'!C16*'Project Input'!B39</f>
        <v>338228310.5022831</v>
      </c>
      <c r="Q10" s="49" t="s">
        <v>380</v>
      </c>
    </row>
    <row r="11" spans="2:17" ht="39.75" customHeight="1">
      <c r="B11" s="46">
        <v>8</v>
      </c>
      <c r="C11" s="367" t="s">
        <v>386</v>
      </c>
      <c r="D11" s="43" t="s">
        <v>384</v>
      </c>
      <c r="E11" s="42" t="s">
        <v>1564</v>
      </c>
      <c r="F11" s="43" t="s">
        <v>375</v>
      </c>
      <c r="G11" s="43"/>
      <c r="H11" s="51" t="s">
        <v>1593</v>
      </c>
      <c r="I11" s="42"/>
      <c r="J11" s="42"/>
      <c r="K11" s="42"/>
      <c r="L11" s="42"/>
      <c r="M11" s="42"/>
      <c r="N11" s="42"/>
      <c r="O11" s="404"/>
      <c r="P11" s="63">
        <f>'Project Input'!B32*'Financial Proxies'!C17*'Project Input'!B38</f>
        <v>3598173.5159817347</v>
      </c>
      <c r="Q11" s="49" t="s">
        <v>387</v>
      </c>
    </row>
    <row r="12" spans="2:17" ht="39.75" customHeight="1">
      <c r="B12" s="46">
        <v>9</v>
      </c>
      <c r="C12" s="367" t="s">
        <v>388</v>
      </c>
      <c r="D12" s="43" t="s">
        <v>384</v>
      </c>
      <c r="E12" s="42" t="s">
        <v>1564</v>
      </c>
      <c r="F12" s="43" t="s">
        <v>378</v>
      </c>
      <c r="G12" s="43"/>
      <c r="H12" s="51" t="s">
        <v>1594</v>
      </c>
      <c r="I12" s="42"/>
      <c r="J12" s="42"/>
      <c r="K12" s="42"/>
      <c r="L12" s="42"/>
      <c r="M12" s="42"/>
      <c r="N12" s="42"/>
      <c r="O12" s="404"/>
      <c r="P12" s="63">
        <f>'Project Input'!B33*'Financial Proxies'!C16*'Project Input'!B39</f>
        <v>18885844.748858448</v>
      </c>
      <c r="Q12" s="49" t="s">
        <v>380</v>
      </c>
    </row>
    <row r="13" spans="2:17" ht="39.75" customHeight="1">
      <c r="B13" s="46">
        <v>10</v>
      </c>
      <c r="C13" s="367" t="s">
        <v>389</v>
      </c>
      <c r="D13" s="43" t="s">
        <v>384</v>
      </c>
      <c r="E13" s="42" t="s">
        <v>1564</v>
      </c>
      <c r="F13" s="43" t="s">
        <v>375</v>
      </c>
      <c r="G13" s="43"/>
      <c r="H13" s="51" t="s">
        <v>1594</v>
      </c>
      <c r="I13" s="42"/>
      <c r="J13" s="42"/>
      <c r="K13" s="42"/>
      <c r="L13" s="42"/>
      <c r="M13" s="42"/>
      <c r="N13" s="42"/>
      <c r="O13" s="404"/>
      <c r="P13" s="63">
        <f>'Project Input'!B33*'Financial Proxies'!C17*'Project Input'!B38</f>
        <v>200913.2420091324</v>
      </c>
      <c r="Q13" s="49" t="s">
        <v>371</v>
      </c>
    </row>
    <row r="14" spans="2:17" ht="39.75" customHeight="1">
      <c r="B14" s="46">
        <v>11</v>
      </c>
      <c r="C14" s="367" t="s">
        <v>390</v>
      </c>
      <c r="D14" s="43" t="s">
        <v>384</v>
      </c>
      <c r="E14" s="42" t="s">
        <v>1564</v>
      </c>
      <c r="F14" s="43" t="s">
        <v>378</v>
      </c>
      <c r="G14" s="43"/>
      <c r="H14" s="51" t="s">
        <v>1595</v>
      </c>
      <c r="I14" s="42"/>
      <c r="J14" s="42"/>
      <c r="K14" s="42"/>
      <c r="L14" s="42"/>
      <c r="M14" s="42"/>
      <c r="N14" s="42"/>
      <c r="O14" s="404"/>
      <c r="P14" s="63">
        <f>'Project Input'!B34*'Financial Proxies'!C18</f>
        <v>48253491.676272675</v>
      </c>
      <c r="Q14" s="49" t="s">
        <v>380</v>
      </c>
    </row>
    <row r="15" spans="2:17" ht="39.75" customHeight="1">
      <c r="B15" s="46">
        <v>12</v>
      </c>
      <c r="C15" s="367" t="s">
        <v>391</v>
      </c>
      <c r="D15" s="43" t="s">
        <v>384</v>
      </c>
      <c r="E15" s="42" t="s">
        <v>1564</v>
      </c>
      <c r="F15" s="43" t="s">
        <v>375</v>
      </c>
      <c r="G15" s="43"/>
      <c r="H15" s="51" t="s">
        <v>1596</v>
      </c>
      <c r="I15" s="42"/>
      <c r="J15" s="42"/>
      <c r="K15" s="42"/>
      <c r="L15" s="42"/>
      <c r="M15" s="42"/>
      <c r="N15" s="42"/>
      <c r="O15" s="404"/>
      <c r="P15" s="63">
        <f>'Project Input'!B26*'Financial Proxies'!C19</f>
        <v>369900.00000000006</v>
      </c>
      <c r="Q15" s="49" t="s">
        <v>371</v>
      </c>
    </row>
    <row r="16" spans="2:17" ht="39.75" hidden="1" customHeight="1">
      <c r="B16" s="46">
        <v>13</v>
      </c>
      <c r="C16" s="367" t="s">
        <v>392</v>
      </c>
      <c r="D16" s="43" t="s">
        <v>384</v>
      </c>
      <c r="E16" s="42" t="s">
        <v>1564</v>
      </c>
      <c r="F16" s="43" t="s">
        <v>369</v>
      </c>
      <c r="G16" s="43" t="s">
        <v>1555</v>
      </c>
      <c r="H16" s="52" t="s">
        <v>393</v>
      </c>
      <c r="I16" s="42"/>
      <c r="J16" s="42"/>
      <c r="K16" s="42"/>
      <c r="L16" s="42"/>
      <c r="M16" s="42"/>
      <c r="N16" s="42"/>
      <c r="O16" s="404"/>
      <c r="P16" s="63">
        <f>'Project Input'!B24*'Financial Proxies'!C15</f>
        <v>61070000</v>
      </c>
      <c r="Q16" s="49" t="s">
        <v>371</v>
      </c>
    </row>
    <row r="17" spans="2:17" ht="39.75" hidden="1" customHeight="1">
      <c r="B17" s="46">
        <v>14</v>
      </c>
      <c r="C17" s="367" t="s">
        <v>394</v>
      </c>
      <c r="D17" s="43" t="s">
        <v>384</v>
      </c>
      <c r="E17" s="42" t="s">
        <v>1564</v>
      </c>
      <c r="F17" s="43" t="s">
        <v>369</v>
      </c>
      <c r="G17" s="43" t="s">
        <v>1555</v>
      </c>
      <c r="H17" s="52" t="s">
        <v>395</v>
      </c>
      <c r="I17" s="42"/>
      <c r="J17" s="42"/>
      <c r="K17" s="42"/>
      <c r="L17" s="42"/>
      <c r="M17" s="42"/>
      <c r="N17" s="42"/>
      <c r="O17" s="404"/>
      <c r="P17" s="63">
        <f>'Project Input'!B25*'Financial Proxies'!C15</f>
        <v>3410000</v>
      </c>
      <c r="Q17" s="49" t="s">
        <v>371</v>
      </c>
    </row>
    <row r="18" spans="2:17" ht="39.75" hidden="1" customHeight="1">
      <c r="B18" s="46">
        <v>15</v>
      </c>
      <c r="C18" s="367" t="s">
        <v>1534</v>
      </c>
      <c r="D18" s="43" t="s">
        <v>384</v>
      </c>
      <c r="E18" s="42" t="s">
        <v>1564</v>
      </c>
      <c r="F18" s="43" t="s">
        <v>369</v>
      </c>
      <c r="G18" s="43" t="s">
        <v>1555</v>
      </c>
      <c r="H18" s="52" t="s">
        <v>1535</v>
      </c>
      <c r="I18" s="42"/>
      <c r="J18" s="42"/>
      <c r="K18" s="42"/>
      <c r="L18" s="42"/>
      <c r="M18" s="42"/>
      <c r="N18" s="42"/>
      <c r="O18" s="404"/>
      <c r="P18" s="63">
        <f>'Project Input'!B44*'Financial Proxies'!C15</f>
        <v>42888405.140000001</v>
      </c>
      <c r="Q18" s="49" t="s">
        <v>371</v>
      </c>
    </row>
    <row r="19" spans="2:17" ht="39.75" hidden="1" customHeight="1">
      <c r="B19" s="46">
        <v>16</v>
      </c>
      <c r="C19" s="367" t="s">
        <v>396</v>
      </c>
      <c r="D19" s="43" t="s">
        <v>384</v>
      </c>
      <c r="E19" s="42" t="s">
        <v>1564</v>
      </c>
      <c r="F19" s="43" t="s">
        <v>369</v>
      </c>
      <c r="G19" s="43" t="s">
        <v>1555</v>
      </c>
      <c r="H19" s="52" t="s">
        <v>397</v>
      </c>
      <c r="I19" s="42"/>
      <c r="J19" s="42"/>
      <c r="K19" s="42"/>
      <c r="L19" s="42"/>
      <c r="M19" s="42"/>
      <c r="N19" s="42"/>
      <c r="O19" s="404"/>
      <c r="P19" s="63">
        <f>'Project Input'!B26*'Financial Proxies'!C15</f>
        <v>5580000</v>
      </c>
      <c r="Q19" s="49" t="s">
        <v>371</v>
      </c>
    </row>
    <row r="20" spans="2:17" ht="54.75" hidden="1" customHeight="1">
      <c r="B20" s="46">
        <v>17</v>
      </c>
      <c r="C20" s="47" t="s">
        <v>398</v>
      </c>
      <c r="D20" s="43" t="s">
        <v>399</v>
      </c>
      <c r="E20" s="42" t="s">
        <v>400</v>
      </c>
      <c r="F20" s="43" t="s">
        <v>369</v>
      </c>
      <c r="G20" s="336" t="s">
        <v>1556</v>
      </c>
      <c r="H20" s="51" t="s">
        <v>401</v>
      </c>
      <c r="I20" s="384">
        <f>'Financial Proxies'!C11</f>
        <v>38000</v>
      </c>
      <c r="J20" s="384">
        <f>Greenery!B16</f>
        <v>42690</v>
      </c>
      <c r="K20" s="384">
        <f>'Financial Proxies'!C46</f>
        <v>1.2567550584391102E-2</v>
      </c>
      <c r="L20" s="384"/>
      <c r="M20" s="384"/>
      <c r="N20" s="384"/>
      <c r="O20" s="384"/>
      <c r="P20" s="63">
        <f>J20*K20*('Project Input'!B68*I20+'Project Input'!B17*'Project Input'!B18)</f>
        <v>17673885.333668467</v>
      </c>
      <c r="Q20" s="49" t="s">
        <v>371</v>
      </c>
    </row>
    <row r="21" spans="2:17" ht="54.75" hidden="1" customHeight="1">
      <c r="B21" s="46">
        <v>18</v>
      </c>
      <c r="C21" s="47" t="s">
        <v>402</v>
      </c>
      <c r="D21" s="43" t="s">
        <v>399</v>
      </c>
      <c r="E21" s="42" t="s">
        <v>400</v>
      </c>
      <c r="F21" s="43" t="s">
        <v>369</v>
      </c>
      <c r="G21" s="336" t="s">
        <v>1556</v>
      </c>
      <c r="H21" s="51" t="s">
        <v>403</v>
      </c>
      <c r="I21" s="384">
        <f>'Financial Proxies'!C56</f>
        <v>2834.9</v>
      </c>
      <c r="J21" s="384">
        <f>'Financial Proxies'!C47</f>
        <v>6.6250000000000003E-2</v>
      </c>
      <c r="K21" s="384">
        <f>'Financial Proxies'!C11</f>
        <v>38000</v>
      </c>
      <c r="L21" s="384">
        <f>(SUM(Greenery!B6:B8)-Greenery!B4)/Greenery!B5</f>
        <v>0.51935200000000004</v>
      </c>
      <c r="M21" s="384"/>
      <c r="N21" s="384"/>
      <c r="O21" s="384"/>
      <c r="P21" s="63">
        <f>I21*J21*L21*('Project Input'!B69*K21+'Project Input'!B17*'Project Input'!B18)</f>
        <v>4695838.7134946035</v>
      </c>
      <c r="Q21" s="49" t="s">
        <v>371</v>
      </c>
    </row>
    <row r="22" spans="2:17" ht="54.75" hidden="1" customHeight="1">
      <c r="B22" s="46">
        <v>19</v>
      </c>
      <c r="C22" s="47" t="s">
        <v>404</v>
      </c>
      <c r="D22" s="43" t="s">
        <v>399</v>
      </c>
      <c r="E22" s="42" t="s">
        <v>400</v>
      </c>
      <c r="F22" s="43" t="s">
        <v>369</v>
      </c>
      <c r="G22" s="336" t="s">
        <v>1556</v>
      </c>
      <c r="H22" s="51" t="s">
        <v>405</v>
      </c>
      <c r="I22" s="384">
        <f>Greenery!B19</f>
        <v>1.6</v>
      </c>
      <c r="J22" s="384">
        <f>'Financial Proxies'!C48</f>
        <v>11.568360951826159</v>
      </c>
      <c r="K22" s="384">
        <f>'Financial Proxies'!C11</f>
        <v>38000</v>
      </c>
      <c r="L22" s="384"/>
      <c r="M22" s="384"/>
      <c r="N22" s="384"/>
      <c r="O22" s="384"/>
      <c r="P22" s="63">
        <f>I22*J22*(K22*'Project Input'!B68+'Project Input'!B17*'Project Input'!B18)</f>
        <v>609743.31811110093</v>
      </c>
      <c r="Q22" s="49" t="s">
        <v>371</v>
      </c>
    </row>
    <row r="23" spans="2:17" ht="36.75" hidden="1" customHeight="1">
      <c r="B23" s="46">
        <v>20</v>
      </c>
      <c r="C23" s="47" t="s">
        <v>406</v>
      </c>
      <c r="D23" s="43" t="s">
        <v>399</v>
      </c>
      <c r="E23" s="42" t="s">
        <v>1564</v>
      </c>
      <c r="F23" s="43" t="s">
        <v>369</v>
      </c>
      <c r="G23" s="43" t="s">
        <v>1555</v>
      </c>
      <c r="H23" s="51" t="s">
        <v>407</v>
      </c>
      <c r="I23" s="384">
        <f>'Financial Proxies'!C42</f>
        <v>27.758533270416663</v>
      </c>
      <c r="J23" s="384">
        <f>'Financial Proxies'!C11</f>
        <v>38000</v>
      </c>
      <c r="K23" s="384">
        <f>Greenery!B19</f>
        <v>1.6</v>
      </c>
      <c r="L23" s="384"/>
      <c r="M23" s="384"/>
      <c r="N23" s="384"/>
      <c r="O23" s="384"/>
      <c r="P23" s="63">
        <f>I23*K23*('Project Input'!B68*J23+'Project Input'!B17*'Project Input'!B18)</f>
        <v>1463092.3302517983</v>
      </c>
      <c r="Q23" s="49" t="s">
        <v>371</v>
      </c>
    </row>
    <row r="24" spans="2:17" ht="36.75" hidden="1" customHeight="1">
      <c r="B24" s="46">
        <v>21</v>
      </c>
      <c r="C24" s="47" t="s">
        <v>408</v>
      </c>
      <c r="D24" s="43" t="s">
        <v>399</v>
      </c>
      <c r="E24" s="42" t="s">
        <v>1564</v>
      </c>
      <c r="F24" s="43" t="s">
        <v>375</v>
      </c>
      <c r="G24" s="43"/>
      <c r="H24" s="51" t="s">
        <v>409</v>
      </c>
      <c r="I24" s="384">
        <f>'Financial Proxies'!C44</f>
        <v>0.97468522584644701</v>
      </c>
      <c r="J24" s="384">
        <f>SUM(Greenery!B6:B8)-Greenery!B4</f>
        <v>779028</v>
      </c>
      <c r="K24" s="384"/>
      <c r="L24" s="384"/>
      <c r="M24" s="384"/>
      <c r="N24" s="384"/>
      <c r="O24" s="384"/>
      <c r="P24" s="63">
        <f>I24*J24</f>
        <v>759307.08212070598</v>
      </c>
      <c r="Q24" s="49" t="s">
        <v>371</v>
      </c>
    </row>
    <row r="25" spans="2:17" ht="36.75" hidden="1" customHeight="1">
      <c r="B25" s="46">
        <v>22</v>
      </c>
      <c r="C25" s="47" t="s">
        <v>410</v>
      </c>
      <c r="D25" s="43" t="s">
        <v>399</v>
      </c>
      <c r="E25" s="42" t="s">
        <v>1564</v>
      </c>
      <c r="F25" s="43" t="s">
        <v>369</v>
      </c>
      <c r="G25" s="43" t="s">
        <v>1555</v>
      </c>
      <c r="H25" s="51" t="s">
        <v>411</v>
      </c>
      <c r="I25" s="384">
        <f>'Financial Proxies'!C43</f>
        <v>4.24</v>
      </c>
      <c r="J25" s="384">
        <f>'Financial Proxies'!C11/'Financial Proxies'!C12</f>
        <v>11801.242236024844</v>
      </c>
      <c r="K25" s="384">
        <f>Greenery!B19</f>
        <v>1.6</v>
      </c>
      <c r="L25" s="384"/>
      <c r="M25" s="384"/>
      <c r="N25" s="384"/>
      <c r="O25" s="384"/>
      <c r="P25" s="63">
        <f>I25*(J25*'Project Input'!B68+('Project Input'!B17/'Financial Proxies'!C12)*'Project Input'!B18)*K25</f>
        <v>69404.11229813665</v>
      </c>
      <c r="Q25" s="49" t="s">
        <v>371</v>
      </c>
    </row>
    <row r="26" spans="2:17" ht="36.75" hidden="1" customHeight="1">
      <c r="B26" s="46">
        <v>23</v>
      </c>
      <c r="C26" s="47" t="s">
        <v>412</v>
      </c>
      <c r="D26" s="43" t="s">
        <v>413</v>
      </c>
      <c r="E26" s="42" t="s">
        <v>400</v>
      </c>
      <c r="F26" s="43" t="s">
        <v>369</v>
      </c>
      <c r="G26" s="336" t="s">
        <v>1556</v>
      </c>
      <c r="H26" s="51" t="s">
        <v>414</v>
      </c>
      <c r="I26" s="384">
        <f>'Financial Proxies'!C11</f>
        <v>38000</v>
      </c>
      <c r="J26" s="384">
        <f>(0.5*(25-19)+0.5*(30-11))</f>
        <v>12.5</v>
      </c>
      <c r="K26" s="384">
        <f>'Project Input'!B16</f>
        <v>11000</v>
      </c>
      <c r="L26" s="384">
        <f>'Financial Proxies'!C63</f>
        <v>52</v>
      </c>
      <c r="M26" s="384">
        <f>'Financial Proxies'!C62</f>
        <v>260</v>
      </c>
      <c r="N26" s="384">
        <f>'Financial Proxies'!C73</f>
        <v>0.15135999999999999</v>
      </c>
      <c r="O26" s="384"/>
      <c r="P26" s="63">
        <f>(I26*M26+K26*L26)*N26*2*J26</f>
        <v>39550368</v>
      </c>
      <c r="Q26" s="49" t="s">
        <v>371</v>
      </c>
    </row>
    <row r="27" spans="2:17" ht="45" hidden="1">
      <c r="B27" s="46">
        <v>24</v>
      </c>
      <c r="C27" s="47" t="s">
        <v>415</v>
      </c>
      <c r="D27" s="43" t="s">
        <v>413</v>
      </c>
      <c r="E27" s="42" t="s">
        <v>400</v>
      </c>
      <c r="F27" s="43" t="s">
        <v>369</v>
      </c>
      <c r="G27" s="336" t="s">
        <v>1556</v>
      </c>
      <c r="H27" s="51" t="s">
        <v>416</v>
      </c>
      <c r="I27" s="384">
        <f>'Financial Proxies'!C53</f>
        <v>0.378</v>
      </c>
      <c r="J27" s="384">
        <f>'Financial Proxies'!C57</f>
        <v>58.219178082191775</v>
      </c>
      <c r="K27" s="384">
        <f>'Financial Proxies'!C11</f>
        <v>38000</v>
      </c>
      <c r="L27" s="384">
        <f>'Financial Proxies'!C54+'Financial Proxies'!C55</f>
        <v>2.0430622009569377</v>
      </c>
      <c r="M27" s="384">
        <f>(Mobility!B4-Mobility!B5)+(Mobility!B7-Mobility!B8)</f>
        <v>25</v>
      </c>
      <c r="N27" s="384"/>
      <c r="O27" s="384"/>
      <c r="P27" s="63">
        <f>I27*J27*('Project Input'!B17+K27)*L27</f>
        <v>2278551.9033230646</v>
      </c>
      <c r="Q27" s="49" t="s">
        <v>371</v>
      </c>
    </row>
    <row r="28" spans="2:17" ht="27" hidden="1" customHeight="1">
      <c r="B28" s="46">
        <v>25</v>
      </c>
      <c r="C28" s="47" t="s">
        <v>417</v>
      </c>
      <c r="D28" s="43" t="s">
        <v>413</v>
      </c>
      <c r="E28" s="42" t="s">
        <v>1564</v>
      </c>
      <c r="F28" s="43" t="s">
        <v>378</v>
      </c>
      <c r="G28" s="43"/>
      <c r="H28" s="51" t="s">
        <v>418</v>
      </c>
      <c r="I28" s="384"/>
      <c r="J28" s="384"/>
      <c r="K28" s="384"/>
      <c r="L28" s="384"/>
      <c r="M28" s="384"/>
      <c r="N28" s="384"/>
      <c r="O28" s="384"/>
      <c r="P28" s="403">
        <f>'Project Input'!B63*'Financial Proxies'!C59</f>
        <v>292500000</v>
      </c>
      <c r="Q28" s="49" t="s">
        <v>419</v>
      </c>
    </row>
    <row r="29" spans="2:17" ht="27" hidden="1" customHeight="1">
      <c r="B29" s="46">
        <v>26</v>
      </c>
      <c r="C29" s="47" t="s">
        <v>420</v>
      </c>
      <c r="D29" s="43" t="s">
        <v>413</v>
      </c>
      <c r="E29" s="42" t="s">
        <v>1564</v>
      </c>
      <c r="F29" s="43" t="s">
        <v>375</v>
      </c>
      <c r="G29" s="43"/>
      <c r="H29" s="51" t="s">
        <v>421</v>
      </c>
      <c r="I29" s="384"/>
      <c r="J29" s="384"/>
      <c r="K29" s="384"/>
      <c r="L29" s="384"/>
      <c r="M29" s="384"/>
      <c r="N29" s="384"/>
      <c r="O29" s="384"/>
      <c r="P29" s="403">
        <f>'Financial Proxies'!C60*'Project Input'!B63*'Project Input'!B64</f>
        <v>69768000.000000015</v>
      </c>
      <c r="Q29" s="49" t="s">
        <v>371</v>
      </c>
    </row>
    <row r="30" spans="2:17" ht="18.75" hidden="1">
      <c r="B30" s="46">
        <v>27</v>
      </c>
      <c r="C30" s="47" t="s">
        <v>1517</v>
      </c>
      <c r="D30" s="43" t="s">
        <v>425</v>
      </c>
      <c r="E30" s="42" t="s">
        <v>1564</v>
      </c>
      <c r="F30" s="43" t="s">
        <v>378</v>
      </c>
      <c r="G30" s="43"/>
      <c r="H30" s="51" t="s">
        <v>1591</v>
      </c>
      <c r="I30" s="384"/>
      <c r="J30" s="384"/>
      <c r="K30" s="384"/>
      <c r="L30" s="384"/>
      <c r="M30" s="384"/>
      <c r="N30" s="384"/>
      <c r="O30" s="384"/>
      <c r="P30" s="403">
        <f>'Financial Proxies'!C86*'Project Input'!B5*'Project Input'!B75</f>
        <v>47419354.838709675</v>
      </c>
      <c r="Q30" s="49" t="s">
        <v>419</v>
      </c>
    </row>
    <row r="31" spans="2:17" ht="18.75" hidden="1">
      <c r="B31" s="46">
        <v>28</v>
      </c>
      <c r="C31" s="47" t="s">
        <v>1518</v>
      </c>
      <c r="D31" s="43" t="s">
        <v>425</v>
      </c>
      <c r="E31" s="42" t="s">
        <v>1564</v>
      </c>
      <c r="F31" s="43" t="s">
        <v>375</v>
      </c>
      <c r="G31" s="43"/>
      <c r="H31" s="51" t="s">
        <v>1592</v>
      </c>
      <c r="I31" s="384"/>
      <c r="J31" s="384"/>
      <c r="K31" s="384"/>
      <c r="L31" s="384"/>
      <c r="M31" s="384"/>
      <c r="N31" s="384"/>
      <c r="O31" s="384"/>
      <c r="P31" s="63">
        <f>(('Financial Proxies'!C77+'Financial Proxies'!C79)/'Financial Proxies'!C84)*'Project Input'!B5</f>
        <v>697687.02455589583</v>
      </c>
      <c r="Q31" s="49" t="s">
        <v>371</v>
      </c>
    </row>
    <row r="32" spans="2:17" ht="27" hidden="1" customHeight="1">
      <c r="B32" s="46">
        <v>29</v>
      </c>
      <c r="C32" s="47" t="s">
        <v>422</v>
      </c>
      <c r="D32" s="43" t="s">
        <v>368</v>
      </c>
      <c r="E32" s="42" t="s">
        <v>1564</v>
      </c>
      <c r="F32" s="43" t="s">
        <v>378</v>
      </c>
      <c r="G32" s="43"/>
      <c r="H32" s="253" t="s">
        <v>423</v>
      </c>
      <c r="I32" s="405">
        <f>'Financial Proxies'!C34</f>
        <v>45.260039499670832</v>
      </c>
      <c r="J32" s="405">
        <f>'Financial Proxies'!C30</f>
        <v>48029.850000000006</v>
      </c>
      <c r="K32" s="405"/>
      <c r="L32" s="384"/>
      <c r="M32" s="384"/>
      <c r="N32" s="384"/>
      <c r="O32" s="384"/>
      <c r="P32" s="63">
        <f>I32*J32</f>
        <v>2173832.9081632653</v>
      </c>
      <c r="Q32" s="49" t="s">
        <v>419</v>
      </c>
    </row>
    <row r="33" spans="2:17" ht="60.75" hidden="1" customHeight="1">
      <c r="B33" s="46">
        <v>30</v>
      </c>
      <c r="C33" s="47" t="s">
        <v>424</v>
      </c>
      <c r="D33" s="43" t="s">
        <v>425</v>
      </c>
      <c r="E33" s="42" t="s">
        <v>400</v>
      </c>
      <c r="F33" s="43" t="s">
        <v>369</v>
      </c>
      <c r="G33" s="336" t="s">
        <v>1556</v>
      </c>
      <c r="H33" s="51" t="s">
        <v>426</v>
      </c>
      <c r="I33" s="384">
        <f>'Project Input'!B10</f>
        <v>38000</v>
      </c>
      <c r="J33" s="384">
        <f>'Financial Proxies'!C94</f>
        <v>0.14000000000000001</v>
      </c>
      <c r="K33" s="405">
        <f>'Financial Proxies'!C57</f>
        <v>58.219178082191775</v>
      </c>
      <c r="L33" s="384">
        <f>'Financial Proxies'!C93</f>
        <v>0.03</v>
      </c>
      <c r="M33" s="384">
        <f>('Project Input'!B7-'Project Input'!B6)/'Project Input'!B6/100</f>
        <v>0.18846153846153846</v>
      </c>
      <c r="N33" s="384"/>
      <c r="O33" s="384"/>
      <c r="P33" s="63">
        <f>(I33+'Project Input'!B17)*J33*K33*'Project Input'!B74</f>
        <v>413060.41095890413</v>
      </c>
      <c r="Q33" s="49" t="s">
        <v>371</v>
      </c>
    </row>
    <row r="34" spans="2:17" ht="69" hidden="1" customHeight="1">
      <c r="B34" s="46">
        <v>31</v>
      </c>
      <c r="C34" s="47" t="s">
        <v>427</v>
      </c>
      <c r="D34" s="43" t="s">
        <v>425</v>
      </c>
      <c r="E34" s="42" t="s">
        <v>400</v>
      </c>
      <c r="F34" s="43" t="s">
        <v>369</v>
      </c>
      <c r="G34" s="336" t="s">
        <v>1556</v>
      </c>
      <c r="H34" s="253" t="s">
        <v>428</v>
      </c>
      <c r="I34" s="384">
        <f>'Project Input'!B10</f>
        <v>38000</v>
      </c>
      <c r="J34" s="384">
        <f>'Financial Proxies'!C91</f>
        <v>1.7398436626194592E-4</v>
      </c>
      <c r="K34" s="384">
        <f>'Financial Proxies'!C89</f>
        <v>314.38195572625693</v>
      </c>
      <c r="L34" s="405">
        <f>'Financial Proxies'!C5</f>
        <v>114165</v>
      </c>
      <c r="M34" s="384">
        <f>'Financial Proxies'!C90/100</f>
        <v>0.26</v>
      </c>
      <c r="N34" s="384">
        <f>'Financial Proxies'!C100/100</f>
        <v>0.30499999999999999</v>
      </c>
      <c r="O34" s="384"/>
      <c r="P34" s="63">
        <f>(I34*'Project Input'!B73+'Project Input'!B17*'Project Input'!B18)*J34*K34*M34*L34*N34</f>
        <v>16312827.41355646</v>
      </c>
      <c r="Q34" s="49" t="s">
        <v>371</v>
      </c>
    </row>
    <row r="35" spans="2:17" ht="56.25" hidden="1" customHeight="1">
      <c r="B35" s="46">
        <v>32</v>
      </c>
      <c r="C35" s="47" t="s">
        <v>429</v>
      </c>
      <c r="D35" s="43" t="s">
        <v>425</v>
      </c>
      <c r="E35" s="42" t="s">
        <v>400</v>
      </c>
      <c r="F35" s="43" t="s">
        <v>369</v>
      </c>
      <c r="G35" s="336" t="s">
        <v>1556</v>
      </c>
      <c r="H35" s="253" t="s">
        <v>430</v>
      </c>
      <c r="I35" s="384">
        <f>'Project Input'!B10</f>
        <v>38000</v>
      </c>
      <c r="J35" s="405">
        <f>'Financial Proxies'!C61</f>
        <v>0.9302180000000001</v>
      </c>
      <c r="K35" s="384">
        <f>'Financial Proxies'!C62</f>
        <v>260</v>
      </c>
      <c r="L35" s="384">
        <f>'Financial Proxies'!C64</f>
        <v>6.5</v>
      </c>
      <c r="M35" s="384">
        <f>'Financial Proxies'!C65/100</f>
        <v>0.1</v>
      </c>
      <c r="N35" s="384"/>
      <c r="O35" s="384"/>
      <c r="P35" s="63">
        <f>(I35+'Project Input'!B17)*J35*K35*L35*M35*'Project Input'!B74</f>
        <v>7966928.3388760006</v>
      </c>
      <c r="Q35" s="49" t="s">
        <v>371</v>
      </c>
    </row>
    <row r="36" spans="2:17" ht="18.75" hidden="1">
      <c r="B36" s="46">
        <v>33</v>
      </c>
      <c r="C36" s="42" t="s">
        <v>431</v>
      </c>
      <c r="D36" s="43" t="s">
        <v>413</v>
      </c>
      <c r="E36" s="42" t="s">
        <v>400</v>
      </c>
      <c r="F36" s="43" t="s">
        <v>369</v>
      </c>
      <c r="G36" s="43" t="s">
        <v>1555</v>
      </c>
      <c r="H36" s="263" t="s">
        <v>432</v>
      </c>
      <c r="I36" s="42">
        <f>'Project Input'!B10</f>
        <v>38000</v>
      </c>
      <c r="J36" s="262">
        <f>(0.5*'Financial Proxies'!C69+0.5*'Financial Proxies'!C70)*2</f>
        <v>8.9</v>
      </c>
      <c r="K36" s="262">
        <f>'Financial Proxies'!C68/100</f>
        <v>3.9300000000000002E-2</v>
      </c>
      <c r="L36" s="262">
        <f>'Financial Proxies'!C67</f>
        <v>1.0273180000000002</v>
      </c>
      <c r="M36" s="42">
        <f>'Financial Proxies'!C62</f>
        <v>260</v>
      </c>
      <c r="N36" s="42">
        <f>'Project Input'!B16</f>
        <v>11000</v>
      </c>
      <c r="O36" s="42">
        <f>'Financial Proxies'!C63</f>
        <v>52</v>
      </c>
      <c r="P36" s="298">
        <f>(('Project Input'!B17+I36-N36)*M36+N36*O36)*J36*K36*L36</f>
        <v>3912431.3945764019</v>
      </c>
      <c r="Q36" s="49" t="s">
        <v>371</v>
      </c>
    </row>
    <row r="37" spans="2:17" ht="26.25" hidden="1" customHeight="1">
      <c r="B37" s="46">
        <v>34</v>
      </c>
      <c r="C37" s="42" t="s">
        <v>433</v>
      </c>
      <c r="D37" s="43" t="s">
        <v>425</v>
      </c>
      <c r="E37" s="42" t="s">
        <v>400</v>
      </c>
      <c r="F37" s="43" t="s">
        <v>369</v>
      </c>
      <c r="G37" s="336" t="s">
        <v>1556</v>
      </c>
      <c r="H37" s="263" t="s">
        <v>434</v>
      </c>
      <c r="I37" s="42">
        <f>'Project Input'!B10</f>
        <v>38000</v>
      </c>
      <c r="J37" s="42">
        <f>'Financial Proxies'!C98/100</f>
        <v>9.6999999999999975E-2</v>
      </c>
      <c r="K37" s="42">
        <f>'Financial Proxies'!C97/100</f>
        <v>0.23100000000000001</v>
      </c>
      <c r="L37" s="42">
        <f>1-'Project Input'!B6/'Project Input'!B7</f>
        <v>0.94961240310077522</v>
      </c>
      <c r="M37" s="42">
        <f>'Financial Proxies'!C99/100</f>
        <v>0.12</v>
      </c>
      <c r="N37" s="262">
        <f>'Financial Proxies'!C5</f>
        <v>114165</v>
      </c>
      <c r="O37" s="42"/>
      <c r="P37" s="298">
        <f>(I37*'Project Input'!B73+'Project Input'!B17*'Project Input'!B18)*J37*K37*L37*M37*N37</f>
        <v>9602836.9717895985</v>
      </c>
      <c r="Q37" s="49" t="s">
        <v>371</v>
      </c>
    </row>
    <row r="38" spans="2:17" ht="18.75" hidden="1">
      <c r="B38" s="46">
        <v>35</v>
      </c>
      <c r="C38" s="42" t="s">
        <v>435</v>
      </c>
      <c r="D38" s="43" t="s">
        <v>413</v>
      </c>
      <c r="E38" s="42" t="s">
        <v>400</v>
      </c>
      <c r="F38" s="43" t="s">
        <v>369</v>
      </c>
      <c r="G38" s="336" t="s">
        <v>1556</v>
      </c>
      <c r="H38" s="263" t="s">
        <v>436</v>
      </c>
      <c r="I38" s="42">
        <f>'Project Input'!B10</f>
        <v>38000</v>
      </c>
      <c r="J38" s="42">
        <f>'Financial Proxies'!C71/100</f>
        <v>0.37796875000000002</v>
      </c>
      <c r="K38" s="42">
        <f>'Financial Proxies'!C97/100</f>
        <v>0.23100000000000001</v>
      </c>
      <c r="L38" s="42">
        <f>'Financial Proxies'!C72</f>
        <v>0.45454545454545453</v>
      </c>
      <c r="M38" s="42">
        <f>'Financial Proxies'!C99/100</f>
        <v>0.12</v>
      </c>
      <c r="N38" s="262">
        <f>'Financial Proxies'!C5</f>
        <v>114165</v>
      </c>
      <c r="O38" s="42"/>
      <c r="P38" s="298">
        <f>(I38+'Project Input'!B17)*J38*K38*L38*M38*N38</f>
        <v>27553634.150824692</v>
      </c>
      <c r="Q38" s="49" t="s">
        <v>371</v>
      </c>
    </row>
    <row r="39" spans="2:17" ht="18.75" hidden="1">
      <c r="B39" s="46">
        <v>36</v>
      </c>
      <c r="C39" s="42" t="s">
        <v>1522</v>
      </c>
      <c r="D39" s="43" t="s">
        <v>399</v>
      </c>
      <c r="E39" s="42" t="s">
        <v>1564</v>
      </c>
      <c r="F39" s="43" t="s">
        <v>378</v>
      </c>
      <c r="G39" s="317"/>
      <c r="H39" s="263" t="s">
        <v>1523</v>
      </c>
      <c r="I39" s="42"/>
      <c r="J39" s="42"/>
      <c r="K39" s="42"/>
      <c r="L39" s="42"/>
      <c r="M39" s="42"/>
      <c r="N39" s="42"/>
      <c r="O39" s="42"/>
      <c r="P39" s="262">
        <f>'Financial Proxies'!C49*(Greenery!B13-Greenery!B12)*'Project Input'!B70</f>
        <v>21314000</v>
      </c>
      <c r="Q39" s="49" t="s">
        <v>419</v>
      </c>
    </row>
    <row r="40" spans="2:17" ht="18.75">
      <c r="B40" s="46">
        <v>37</v>
      </c>
      <c r="C40" s="42" t="s">
        <v>1500</v>
      </c>
      <c r="D40" s="43" t="s">
        <v>384</v>
      </c>
      <c r="E40" s="42" t="s">
        <v>1564</v>
      </c>
      <c r="F40" s="43" t="s">
        <v>378</v>
      </c>
      <c r="G40" s="43"/>
      <c r="H40" s="263" t="s">
        <v>1506</v>
      </c>
      <c r="I40" s="42">
        <f>'Financial Proxies'!C22</f>
        <v>212328.76712328766</v>
      </c>
      <c r="J40" s="42">
        <f>SUM('Project Input'!B32:B34)/1000</f>
        <v>391.65035877364642</v>
      </c>
      <c r="K40" s="42"/>
      <c r="L40" s="42"/>
      <c r="M40" s="42"/>
      <c r="N40" s="262"/>
      <c r="O40" s="42"/>
      <c r="P40" s="298">
        <f>I40*J40</f>
        <v>83158637.821801633</v>
      </c>
      <c r="Q40" s="49" t="s">
        <v>419</v>
      </c>
    </row>
    <row r="41" spans="2:17" ht="30">
      <c r="B41" s="46">
        <v>38</v>
      </c>
      <c r="C41" s="61" t="s">
        <v>1501</v>
      </c>
      <c r="D41" s="43" t="s">
        <v>384</v>
      </c>
      <c r="E41" s="42" t="s">
        <v>1564</v>
      </c>
      <c r="F41" s="43" t="s">
        <v>375</v>
      </c>
      <c r="G41" s="43"/>
      <c r="H41" s="263" t="s">
        <v>83</v>
      </c>
      <c r="I41" s="42">
        <f>'Financial Proxies'!C21</f>
        <v>124247.94520547944</v>
      </c>
      <c r="J41" s="406"/>
      <c r="K41" s="42"/>
      <c r="L41" s="42"/>
      <c r="M41" s="42"/>
      <c r="N41" s="262"/>
      <c r="O41" s="42"/>
      <c r="P41" s="298">
        <f>I41</f>
        <v>124247.94520547944</v>
      </c>
      <c r="Q41" s="49" t="s">
        <v>371</v>
      </c>
    </row>
    <row r="42" spans="2:17" ht="18.75">
      <c r="B42" s="46">
        <v>39</v>
      </c>
      <c r="C42" s="42" t="s">
        <v>1532</v>
      </c>
      <c r="D42" s="43" t="s">
        <v>384</v>
      </c>
      <c r="E42" s="42" t="s">
        <v>1564</v>
      </c>
      <c r="F42" s="43" t="s">
        <v>378</v>
      </c>
      <c r="G42" s="43"/>
      <c r="H42" s="263" t="s">
        <v>1507</v>
      </c>
      <c r="I42" s="42">
        <f>'Project Input'!B47</f>
        <v>311661</v>
      </c>
      <c r="J42" s="262">
        <f>Energy!B22</f>
        <v>30</v>
      </c>
      <c r="K42" s="262">
        <f>Energy!B23</f>
        <v>50.5</v>
      </c>
      <c r="L42" s="262">
        <f>'Project Input'!B48</f>
        <v>1113639</v>
      </c>
      <c r="M42" s="42">
        <f>('Project Input'!B46-'Project Input'!B45)/100</f>
        <v>0.18</v>
      </c>
      <c r="N42" s="42"/>
      <c r="O42" s="42"/>
      <c r="P42" s="298">
        <f>(I42*J42+K42*L42)*M42</f>
        <v>11805947.91</v>
      </c>
      <c r="Q42" s="49" t="s">
        <v>419</v>
      </c>
    </row>
    <row r="43" spans="2:17" hidden="1">
      <c r="B43" s="46">
        <v>40</v>
      </c>
      <c r="C43" s="47"/>
      <c r="D43" s="42"/>
      <c r="E43" s="42"/>
      <c r="F43" s="317"/>
      <c r="G43" s="317"/>
      <c r="H43" s="42"/>
      <c r="I43" s="42"/>
      <c r="J43" s="42"/>
      <c r="K43" s="42"/>
      <c r="L43" s="42"/>
      <c r="M43" s="42"/>
      <c r="N43" s="42"/>
      <c r="O43" s="42"/>
      <c r="P43" s="298"/>
      <c r="Q43" s="318"/>
    </row>
    <row r="44" spans="2:17" ht="18.75" hidden="1">
      <c r="B44" s="46">
        <v>41</v>
      </c>
      <c r="C44" s="42"/>
      <c r="D44" s="43"/>
      <c r="E44" s="42"/>
      <c r="F44" s="43"/>
      <c r="G44" s="43"/>
      <c r="H44" s="42"/>
      <c r="I44" s="42"/>
      <c r="J44" s="42"/>
      <c r="K44" s="42"/>
      <c r="L44" s="42"/>
      <c r="M44" s="42"/>
      <c r="N44" s="262"/>
      <c r="O44" s="42"/>
      <c r="P44" s="298"/>
      <c r="Q44" s="49"/>
    </row>
    <row r="45" spans="2:17" ht="18.75" hidden="1">
      <c r="B45" s="46">
        <v>42</v>
      </c>
      <c r="C45" s="42"/>
      <c r="D45" s="43"/>
      <c r="E45" s="42"/>
      <c r="F45" s="43"/>
      <c r="G45" s="43"/>
      <c r="H45" s="42"/>
      <c r="I45" s="42"/>
      <c r="J45" s="42"/>
      <c r="K45" s="42"/>
      <c r="L45" s="42"/>
      <c r="M45" s="42"/>
      <c r="N45" s="262"/>
      <c r="O45" s="42"/>
      <c r="P45" s="298"/>
      <c r="Q45" s="49"/>
    </row>
    <row r="46" spans="2:17" ht="18.75" hidden="1">
      <c r="B46" s="46">
        <v>43</v>
      </c>
      <c r="C46" s="42"/>
      <c r="D46" s="43"/>
      <c r="E46" s="42"/>
      <c r="F46" s="43"/>
      <c r="G46" s="43"/>
      <c r="H46" s="42"/>
      <c r="I46" s="42"/>
      <c r="J46" s="42"/>
      <c r="K46" s="42"/>
      <c r="L46" s="42"/>
      <c r="M46" s="42"/>
      <c r="N46" s="262"/>
      <c r="O46" s="42"/>
      <c r="P46" s="298"/>
      <c r="Q46" s="49"/>
    </row>
    <row r="47" spans="2:17" ht="18.75" hidden="1">
      <c r="B47" s="46">
        <v>44</v>
      </c>
      <c r="C47" s="42"/>
      <c r="D47" s="43"/>
      <c r="E47" s="42"/>
      <c r="F47" s="43"/>
      <c r="G47" s="43"/>
      <c r="H47" s="42"/>
      <c r="I47" s="42"/>
      <c r="J47" s="42"/>
      <c r="K47" s="42"/>
      <c r="L47" s="42"/>
      <c r="M47" s="42"/>
      <c r="N47" s="262"/>
      <c r="O47" s="42"/>
      <c r="P47" s="298"/>
      <c r="Q47" s="49"/>
    </row>
    <row r="48" spans="2:17" ht="18.75" hidden="1">
      <c r="B48" s="46">
        <v>45</v>
      </c>
      <c r="C48" s="42"/>
      <c r="D48" s="43"/>
      <c r="E48" s="42"/>
      <c r="F48" s="43"/>
      <c r="G48" s="43"/>
      <c r="H48" s="42"/>
      <c r="I48" s="42"/>
      <c r="J48" s="42"/>
      <c r="K48" s="42"/>
      <c r="L48" s="42"/>
      <c r="M48" s="42"/>
      <c r="N48" s="262"/>
      <c r="O48" s="42"/>
      <c r="P48" s="298"/>
      <c r="Q48" s="49"/>
    </row>
    <row r="49" spans="2:17" ht="18.75" hidden="1">
      <c r="B49" s="46">
        <v>46</v>
      </c>
      <c r="C49" s="42"/>
      <c r="D49" s="43"/>
      <c r="E49" s="42"/>
      <c r="F49" s="43"/>
      <c r="G49" s="43"/>
      <c r="H49" s="42"/>
      <c r="I49" s="42"/>
      <c r="J49" s="42"/>
      <c r="K49" s="42"/>
      <c r="L49" s="42"/>
      <c r="M49" s="42"/>
      <c r="N49" s="262"/>
      <c r="O49" s="42"/>
      <c r="P49" s="298"/>
      <c r="Q49" s="49"/>
    </row>
    <row r="50" spans="2:17" ht="18.75" hidden="1">
      <c r="B50" s="46">
        <v>47</v>
      </c>
      <c r="C50" s="42"/>
      <c r="D50" s="43"/>
      <c r="E50" s="42"/>
      <c r="F50" s="43"/>
      <c r="G50" s="43"/>
      <c r="H50" s="42"/>
      <c r="I50" s="42"/>
      <c r="J50" s="42"/>
      <c r="K50" s="42"/>
      <c r="L50" s="42"/>
      <c r="M50" s="42"/>
      <c r="N50" s="262"/>
      <c r="O50" s="42"/>
      <c r="P50" s="298"/>
      <c r="Q50" s="49"/>
    </row>
    <row r="51" spans="2:17" ht="18.75" hidden="1">
      <c r="B51" s="46">
        <v>48</v>
      </c>
      <c r="C51" s="42"/>
      <c r="D51" s="43"/>
      <c r="E51" s="42"/>
      <c r="F51" s="43"/>
      <c r="G51" s="43"/>
      <c r="H51" s="42"/>
      <c r="I51" s="42"/>
      <c r="J51" s="42"/>
      <c r="K51" s="42"/>
      <c r="L51" s="42"/>
      <c r="M51" s="42"/>
      <c r="N51" s="262"/>
      <c r="O51" s="42"/>
      <c r="P51" s="298"/>
      <c r="Q51" s="49"/>
    </row>
    <row r="52" spans="2:17" ht="18.75" hidden="1">
      <c r="B52" s="46">
        <v>49</v>
      </c>
      <c r="C52" s="42"/>
      <c r="D52" s="43"/>
      <c r="E52" s="42"/>
      <c r="F52" s="43"/>
      <c r="G52" s="43"/>
      <c r="H52" s="42"/>
      <c r="I52" s="42"/>
      <c r="J52" s="42"/>
      <c r="K52" s="42"/>
      <c r="L52" s="42"/>
      <c r="M52" s="42"/>
      <c r="N52" s="262"/>
      <c r="O52" s="42"/>
      <c r="P52" s="298"/>
      <c r="Q52" s="49"/>
    </row>
    <row r="53" spans="2:17" ht="18.75" hidden="1">
      <c r="B53" s="46">
        <v>50</v>
      </c>
      <c r="C53" s="42"/>
      <c r="D53" s="43"/>
      <c r="E53" s="42"/>
      <c r="F53" s="43"/>
      <c r="G53" s="43"/>
      <c r="H53" s="42"/>
      <c r="I53" s="42"/>
      <c r="J53" s="42"/>
      <c r="K53" s="42"/>
      <c r="L53" s="42"/>
      <c r="M53" s="42"/>
      <c r="N53" s="262"/>
      <c r="O53" s="42"/>
      <c r="P53" s="298"/>
      <c r="Q53" s="49"/>
    </row>
    <row r="54" spans="2:17" ht="18.75" hidden="1">
      <c r="B54" s="46">
        <v>51</v>
      </c>
      <c r="C54" s="42"/>
      <c r="D54" s="43"/>
      <c r="E54" s="42"/>
      <c r="F54" s="43"/>
      <c r="G54" s="43"/>
      <c r="H54" s="42"/>
      <c r="I54" s="42"/>
      <c r="J54" s="42"/>
      <c r="K54" s="42"/>
      <c r="L54" s="42"/>
      <c r="M54" s="42"/>
      <c r="N54" s="262"/>
      <c r="O54" s="42"/>
      <c r="P54" s="298"/>
      <c r="Q54" s="49"/>
    </row>
    <row r="55" spans="2:17" ht="18.75" hidden="1">
      <c r="B55" s="46">
        <v>52</v>
      </c>
      <c r="C55" s="42"/>
      <c r="D55" s="43"/>
      <c r="E55" s="42"/>
      <c r="F55" s="43"/>
      <c r="G55" s="43"/>
      <c r="H55" s="42"/>
      <c r="I55" s="42"/>
      <c r="J55" s="42"/>
      <c r="K55" s="42"/>
      <c r="L55" s="42"/>
      <c r="M55" s="42"/>
      <c r="N55" s="262"/>
      <c r="O55" s="42"/>
      <c r="P55" s="298"/>
      <c r="Q55" s="49"/>
    </row>
    <row r="56" spans="2:17" ht="18.75" hidden="1">
      <c r="B56" s="46">
        <v>53</v>
      </c>
      <c r="C56" s="42"/>
      <c r="D56" s="43"/>
      <c r="E56" s="42"/>
      <c r="F56" s="43"/>
      <c r="G56" s="43"/>
      <c r="H56" s="42"/>
      <c r="I56" s="42"/>
      <c r="J56" s="42"/>
      <c r="K56" s="42"/>
      <c r="L56" s="42"/>
      <c r="M56" s="42"/>
      <c r="N56" s="262"/>
      <c r="O56" s="42"/>
      <c r="P56" s="298"/>
      <c r="Q56" s="49"/>
    </row>
    <row r="57" spans="2:17" ht="18.75" hidden="1">
      <c r="B57" s="46">
        <v>54</v>
      </c>
      <c r="C57" s="42"/>
      <c r="D57" s="43"/>
      <c r="E57" s="42"/>
      <c r="F57" s="43"/>
      <c r="G57" s="43"/>
      <c r="H57" s="42"/>
      <c r="I57" s="42"/>
      <c r="J57" s="42"/>
      <c r="K57" s="42"/>
      <c r="L57" s="42"/>
      <c r="M57" s="42"/>
      <c r="N57" s="262"/>
      <c r="O57" s="42"/>
      <c r="P57" s="298"/>
      <c r="Q57" s="49"/>
    </row>
    <row r="58" spans="2:17" ht="18.75" hidden="1">
      <c r="B58" s="46">
        <v>55</v>
      </c>
      <c r="C58" s="42"/>
      <c r="D58" s="43"/>
      <c r="E58" s="42"/>
      <c r="F58" s="43"/>
      <c r="G58" s="43"/>
      <c r="H58" s="42"/>
      <c r="I58" s="42"/>
      <c r="J58" s="42"/>
      <c r="K58" s="42"/>
      <c r="L58" s="42"/>
      <c r="M58" s="42"/>
      <c r="N58" s="262"/>
      <c r="O58" s="42"/>
      <c r="P58" s="298"/>
      <c r="Q58" s="49"/>
    </row>
    <row r="59" spans="2:17" ht="18.75" hidden="1">
      <c r="B59" s="46">
        <v>56</v>
      </c>
      <c r="C59" s="42"/>
      <c r="D59" s="43"/>
      <c r="E59" s="42"/>
      <c r="F59" s="43"/>
      <c r="G59" s="43"/>
      <c r="H59" s="42"/>
      <c r="I59" s="42"/>
      <c r="J59" s="42"/>
      <c r="K59" s="42"/>
      <c r="L59" s="42"/>
      <c r="M59" s="42"/>
      <c r="N59" s="262"/>
      <c r="O59" s="42"/>
      <c r="P59" s="298"/>
      <c r="Q59" s="49"/>
    </row>
    <row r="60" spans="2:17" ht="18.75" hidden="1">
      <c r="B60" s="46">
        <v>57</v>
      </c>
      <c r="C60" s="42"/>
      <c r="D60" s="43"/>
      <c r="E60" s="42"/>
      <c r="F60" s="43"/>
      <c r="G60" s="43"/>
      <c r="H60" s="42"/>
      <c r="I60" s="42"/>
      <c r="J60" s="42"/>
      <c r="K60" s="42"/>
      <c r="L60" s="42"/>
      <c r="M60" s="42"/>
      <c r="N60" s="262"/>
      <c r="O60" s="42"/>
      <c r="P60" s="298"/>
      <c r="Q60" s="49"/>
    </row>
    <row r="61" spans="2:17" ht="18.75" hidden="1">
      <c r="B61" s="46">
        <v>58</v>
      </c>
      <c r="C61" s="42"/>
      <c r="D61" s="43"/>
      <c r="E61" s="42"/>
      <c r="F61" s="43"/>
      <c r="G61" s="43"/>
      <c r="H61" s="42"/>
      <c r="I61" s="42"/>
      <c r="J61" s="42"/>
      <c r="K61" s="42"/>
      <c r="L61" s="42"/>
      <c r="M61" s="42"/>
      <c r="N61" s="262"/>
      <c r="O61" s="42"/>
      <c r="P61" s="298"/>
      <c r="Q61" s="49"/>
    </row>
    <row r="62" spans="2:17" ht="18.75" hidden="1">
      <c r="B62" s="46">
        <v>59</v>
      </c>
      <c r="C62" s="42"/>
      <c r="D62" s="43"/>
      <c r="E62" s="42"/>
      <c r="F62" s="43"/>
      <c r="G62" s="43"/>
      <c r="H62" s="42"/>
      <c r="I62" s="42"/>
      <c r="J62" s="42"/>
      <c r="K62" s="42"/>
      <c r="L62" s="42"/>
      <c r="M62" s="42"/>
      <c r="N62" s="262"/>
      <c r="O62" s="42"/>
      <c r="P62" s="298"/>
      <c r="Q62" s="49"/>
    </row>
    <row r="63" spans="2:17" ht="18.75" hidden="1">
      <c r="B63" s="46">
        <v>60</v>
      </c>
      <c r="C63" s="42"/>
      <c r="D63" s="43"/>
      <c r="E63" s="42"/>
      <c r="F63" s="43"/>
      <c r="G63" s="43"/>
      <c r="H63" s="42"/>
      <c r="I63" s="42"/>
      <c r="J63" s="42"/>
      <c r="K63" s="42"/>
      <c r="L63" s="42"/>
      <c r="M63" s="42"/>
      <c r="N63" s="262"/>
      <c r="O63" s="42"/>
      <c r="P63" s="298"/>
      <c r="Q63" s="49"/>
    </row>
    <row r="64" spans="2:17" ht="18.75" hidden="1">
      <c r="B64" s="46">
        <v>61</v>
      </c>
      <c r="C64" s="42"/>
      <c r="D64" s="43"/>
      <c r="E64" s="42"/>
      <c r="F64" s="43"/>
      <c r="G64" s="43"/>
      <c r="H64" s="42"/>
      <c r="I64" s="42"/>
      <c r="J64" s="42"/>
      <c r="K64" s="42"/>
      <c r="L64" s="42"/>
      <c r="M64" s="42"/>
      <c r="N64" s="262"/>
      <c r="O64" s="42"/>
      <c r="P64" s="298"/>
      <c r="Q64" s="49"/>
    </row>
    <row r="65" spans="2:17" ht="18.75" hidden="1">
      <c r="B65" s="46">
        <v>62</v>
      </c>
      <c r="C65" s="42"/>
      <c r="D65" s="43"/>
      <c r="E65" s="42"/>
      <c r="F65" s="43"/>
      <c r="G65" s="43"/>
      <c r="H65" s="42"/>
      <c r="I65" s="42"/>
      <c r="J65" s="42"/>
      <c r="K65" s="42"/>
      <c r="L65" s="42"/>
      <c r="M65" s="42"/>
      <c r="N65" s="262"/>
      <c r="O65" s="42"/>
      <c r="P65" s="298"/>
      <c r="Q65" s="49"/>
    </row>
    <row r="66" spans="2:17" ht="18.75" hidden="1">
      <c r="B66" s="46">
        <v>63</v>
      </c>
      <c r="C66" s="42"/>
      <c r="D66" s="43"/>
      <c r="E66" s="42"/>
      <c r="F66" s="43"/>
      <c r="G66" s="43"/>
      <c r="H66" s="42"/>
      <c r="I66" s="42"/>
      <c r="J66" s="42"/>
      <c r="K66" s="42"/>
      <c r="L66" s="42"/>
      <c r="M66" s="42"/>
      <c r="N66" s="262"/>
      <c r="O66" s="42"/>
      <c r="P66" s="298"/>
      <c r="Q66" s="49"/>
    </row>
    <row r="67" spans="2:17" ht="18.75" hidden="1">
      <c r="B67" s="46">
        <v>64</v>
      </c>
      <c r="C67" s="42"/>
      <c r="D67" s="43"/>
      <c r="E67" s="42"/>
      <c r="F67" s="43"/>
      <c r="G67" s="43"/>
      <c r="H67" s="42"/>
      <c r="I67" s="42"/>
      <c r="J67" s="42"/>
      <c r="K67" s="42"/>
      <c r="L67" s="42"/>
      <c r="M67" s="42"/>
      <c r="N67" s="262"/>
      <c r="O67" s="42"/>
      <c r="P67" s="298"/>
      <c r="Q67" s="49"/>
    </row>
    <row r="68" spans="2:17" ht="18.75" hidden="1">
      <c r="B68" s="46">
        <v>65</v>
      </c>
      <c r="C68" s="42"/>
      <c r="D68" s="43"/>
      <c r="E68" s="42"/>
      <c r="F68" s="43"/>
      <c r="G68" s="43"/>
      <c r="H68" s="42"/>
      <c r="I68" s="42"/>
      <c r="J68" s="42"/>
      <c r="K68" s="42"/>
      <c r="L68" s="42"/>
      <c r="M68" s="42"/>
      <c r="N68" s="262"/>
      <c r="O68" s="42"/>
      <c r="P68" s="298"/>
      <c r="Q68" s="49"/>
    </row>
    <row r="69" spans="2:17" ht="18.75" hidden="1">
      <c r="B69" s="46">
        <v>66</v>
      </c>
      <c r="C69" s="42"/>
      <c r="D69" s="43"/>
      <c r="E69" s="42"/>
      <c r="F69" s="43"/>
      <c r="G69" s="43"/>
      <c r="H69" s="42"/>
      <c r="I69" s="42"/>
      <c r="J69" s="42"/>
      <c r="K69" s="42"/>
      <c r="L69" s="42"/>
      <c r="M69" s="42"/>
      <c r="N69" s="262"/>
      <c r="O69" s="42"/>
      <c r="P69" s="298"/>
      <c r="Q69" s="49"/>
    </row>
    <row r="70" spans="2:17" ht="18.75" hidden="1">
      <c r="B70" s="46">
        <v>67</v>
      </c>
      <c r="C70" s="42"/>
      <c r="D70" s="43"/>
      <c r="E70" s="42"/>
      <c r="F70" s="43"/>
      <c r="G70" s="43"/>
      <c r="H70" s="42"/>
      <c r="I70" s="42"/>
      <c r="J70" s="42"/>
      <c r="K70" s="42"/>
      <c r="L70" s="42"/>
      <c r="M70" s="42"/>
      <c r="N70" s="262"/>
      <c r="O70" s="42"/>
      <c r="P70" s="298"/>
      <c r="Q70" s="49"/>
    </row>
    <row r="71" spans="2:17" ht="18.75" hidden="1">
      <c r="B71" s="46">
        <v>68</v>
      </c>
      <c r="C71" s="42"/>
      <c r="D71" s="43"/>
      <c r="E71" s="42"/>
      <c r="F71" s="43"/>
      <c r="G71" s="43"/>
      <c r="H71" s="42"/>
      <c r="I71" s="42"/>
      <c r="J71" s="42"/>
      <c r="K71" s="42"/>
      <c r="L71" s="42"/>
      <c r="M71" s="42"/>
      <c r="N71" s="262"/>
      <c r="O71" s="42"/>
      <c r="P71" s="298"/>
      <c r="Q71" s="49"/>
    </row>
    <row r="72" spans="2:17" ht="18.75" hidden="1">
      <c r="B72" s="46">
        <v>69</v>
      </c>
      <c r="C72" s="42"/>
      <c r="D72" s="43"/>
      <c r="E72" s="42"/>
      <c r="F72" s="43"/>
      <c r="G72" s="43"/>
      <c r="H72" s="42"/>
      <c r="I72" s="42"/>
      <c r="J72" s="42"/>
      <c r="K72" s="42"/>
      <c r="L72" s="42"/>
      <c r="M72" s="42"/>
      <c r="N72" s="262"/>
      <c r="O72" s="42"/>
      <c r="P72" s="298"/>
      <c r="Q72" s="49"/>
    </row>
    <row r="73" spans="2:17" ht="18.75" hidden="1">
      <c r="B73" s="46">
        <v>70</v>
      </c>
      <c r="C73" s="42"/>
      <c r="D73" s="43"/>
      <c r="E73" s="42"/>
      <c r="F73" s="43"/>
      <c r="G73" s="43"/>
      <c r="H73" s="42"/>
      <c r="I73" s="42"/>
      <c r="J73" s="42"/>
      <c r="K73" s="42"/>
      <c r="L73" s="42"/>
      <c r="M73" s="42"/>
      <c r="N73" s="262"/>
      <c r="O73" s="42"/>
      <c r="P73" s="298"/>
      <c r="Q73" s="49"/>
    </row>
    <row r="74" spans="2:17" ht="18.75" hidden="1">
      <c r="B74" s="46">
        <v>71</v>
      </c>
      <c r="C74" s="42"/>
      <c r="D74" s="43"/>
      <c r="E74" s="42"/>
      <c r="F74" s="43"/>
      <c r="G74" s="43"/>
      <c r="H74" s="42"/>
      <c r="I74" s="42"/>
      <c r="J74" s="42"/>
      <c r="K74" s="42"/>
      <c r="L74" s="42"/>
      <c r="M74" s="42"/>
      <c r="N74" s="262"/>
      <c r="O74" s="42"/>
      <c r="P74" s="298"/>
      <c r="Q74" s="49"/>
    </row>
    <row r="75" spans="2:17" ht="18.75" hidden="1">
      <c r="B75" s="46">
        <v>72</v>
      </c>
      <c r="C75" s="42"/>
      <c r="D75" s="43"/>
      <c r="E75" s="42"/>
      <c r="F75" s="43"/>
      <c r="G75" s="43"/>
      <c r="H75" s="42"/>
      <c r="I75" s="42"/>
      <c r="J75" s="42"/>
      <c r="K75" s="42"/>
      <c r="L75" s="42"/>
      <c r="M75" s="42"/>
      <c r="N75" s="262"/>
      <c r="O75" s="42"/>
      <c r="P75" s="298"/>
      <c r="Q75" s="49"/>
    </row>
    <row r="76" spans="2:17" ht="18.75" hidden="1">
      <c r="B76" s="46">
        <v>73</v>
      </c>
      <c r="C76" s="42"/>
      <c r="D76" s="43"/>
      <c r="E76" s="42"/>
      <c r="F76" s="43"/>
      <c r="G76" s="43"/>
      <c r="H76" s="42"/>
      <c r="I76" s="42"/>
      <c r="J76" s="42"/>
      <c r="K76" s="42"/>
      <c r="L76" s="42"/>
      <c r="M76" s="42"/>
      <c r="N76" s="262"/>
      <c r="O76" s="42"/>
      <c r="P76" s="298"/>
      <c r="Q76" s="49"/>
    </row>
    <row r="77" spans="2:17" ht="18.75" hidden="1">
      <c r="B77" s="46">
        <v>74</v>
      </c>
      <c r="C77" s="42"/>
      <c r="D77" s="43"/>
      <c r="E77" s="42"/>
      <c r="F77" s="43"/>
      <c r="G77" s="43"/>
      <c r="H77" s="42"/>
      <c r="I77" s="42"/>
      <c r="J77" s="42"/>
      <c r="K77" s="42"/>
      <c r="L77" s="42"/>
      <c r="M77" s="42"/>
      <c r="N77" s="262"/>
      <c r="O77" s="42"/>
      <c r="P77" s="298"/>
      <c r="Q77" s="49"/>
    </row>
    <row r="78" spans="2:17" ht="18.75" hidden="1">
      <c r="B78" s="46">
        <v>75</v>
      </c>
      <c r="C78" s="42"/>
      <c r="D78" s="43"/>
      <c r="E78" s="42"/>
      <c r="F78" s="43"/>
      <c r="G78" s="43"/>
      <c r="H78" s="42"/>
      <c r="I78" s="42"/>
      <c r="J78" s="42"/>
      <c r="K78" s="42"/>
      <c r="L78" s="42"/>
      <c r="M78" s="42"/>
      <c r="N78" s="262"/>
      <c r="O78" s="42"/>
      <c r="P78" s="298"/>
      <c r="Q78" s="49"/>
    </row>
    <row r="79" spans="2:17" ht="18.75" hidden="1">
      <c r="B79" s="46">
        <v>76</v>
      </c>
      <c r="C79" s="42"/>
      <c r="D79" s="43"/>
      <c r="E79" s="42"/>
      <c r="F79" s="43"/>
      <c r="G79" s="43"/>
      <c r="H79" s="42"/>
      <c r="I79" s="42"/>
      <c r="J79" s="42"/>
      <c r="K79" s="42"/>
      <c r="L79" s="42"/>
      <c r="M79" s="42"/>
      <c r="N79" s="262"/>
      <c r="O79" s="42"/>
      <c r="P79" s="298"/>
      <c r="Q79" s="49"/>
    </row>
    <row r="80" spans="2:17" ht="18.75" hidden="1">
      <c r="B80" s="46">
        <v>77</v>
      </c>
      <c r="C80" s="42"/>
      <c r="D80" s="43"/>
      <c r="E80" s="42"/>
      <c r="F80" s="43"/>
      <c r="G80" s="43"/>
      <c r="H80" s="42"/>
      <c r="I80" s="42"/>
      <c r="J80" s="42"/>
      <c r="K80" s="42"/>
      <c r="L80" s="42"/>
      <c r="M80" s="42"/>
      <c r="N80" s="262"/>
      <c r="O80" s="42"/>
      <c r="P80" s="298"/>
      <c r="Q80" s="49"/>
    </row>
    <row r="81" spans="2:17" ht="18.75" hidden="1">
      <c r="B81" s="46">
        <v>78</v>
      </c>
      <c r="C81" s="42"/>
      <c r="D81" s="43"/>
      <c r="E81" s="42"/>
      <c r="F81" s="43"/>
      <c r="G81" s="43"/>
      <c r="H81" s="42"/>
      <c r="I81" s="42"/>
      <c r="J81" s="42"/>
      <c r="K81" s="42"/>
      <c r="L81" s="42"/>
      <c r="M81" s="42"/>
      <c r="N81" s="262"/>
      <c r="O81" s="42"/>
      <c r="P81" s="298"/>
      <c r="Q81" s="49"/>
    </row>
    <row r="82" spans="2:17" ht="18.75" hidden="1">
      <c r="B82" s="46">
        <v>79</v>
      </c>
      <c r="C82" s="42"/>
      <c r="D82" s="43"/>
      <c r="E82" s="42"/>
      <c r="F82" s="43"/>
      <c r="G82" s="43"/>
      <c r="H82" s="42"/>
      <c r="I82" s="42"/>
      <c r="J82" s="42"/>
      <c r="K82" s="42"/>
      <c r="L82" s="42"/>
      <c r="M82" s="42"/>
      <c r="N82" s="262"/>
      <c r="O82" s="42"/>
      <c r="P82" s="298"/>
      <c r="Q82" s="49"/>
    </row>
    <row r="83" spans="2:17" ht="18.75" hidden="1">
      <c r="B83" s="46">
        <v>80</v>
      </c>
      <c r="C83" s="42"/>
      <c r="D83" s="43"/>
      <c r="E83" s="42"/>
      <c r="F83" s="43"/>
      <c r="G83" s="43"/>
      <c r="H83" s="42"/>
      <c r="I83" s="42"/>
      <c r="J83" s="42"/>
      <c r="K83" s="42"/>
      <c r="L83" s="42"/>
      <c r="M83" s="42"/>
      <c r="N83" s="262"/>
      <c r="O83" s="42"/>
      <c r="P83" s="298"/>
      <c r="Q83" s="49"/>
    </row>
    <row r="84" spans="2:17" ht="18.75" hidden="1">
      <c r="B84" s="46">
        <v>81</v>
      </c>
      <c r="C84" s="42"/>
      <c r="D84" s="43"/>
      <c r="E84" s="42"/>
      <c r="F84" s="43"/>
      <c r="G84" s="43"/>
      <c r="H84" s="42"/>
      <c r="I84" s="42"/>
      <c r="J84" s="42"/>
      <c r="K84" s="42"/>
      <c r="L84" s="42"/>
      <c r="M84" s="42"/>
      <c r="N84" s="262"/>
      <c r="O84" s="42"/>
      <c r="P84" s="298"/>
      <c r="Q84" s="49"/>
    </row>
    <row r="85" spans="2:17" ht="18.75" hidden="1">
      <c r="B85" s="46">
        <v>82</v>
      </c>
      <c r="C85" s="42"/>
      <c r="D85" s="43"/>
      <c r="E85" s="42"/>
      <c r="F85" s="43"/>
      <c r="G85" s="43"/>
      <c r="H85" s="42"/>
      <c r="I85" s="42"/>
      <c r="J85" s="42"/>
      <c r="K85" s="42"/>
      <c r="L85" s="42"/>
      <c r="M85" s="42"/>
      <c r="N85" s="262"/>
      <c r="O85" s="42"/>
      <c r="P85" s="298"/>
      <c r="Q85" s="49"/>
    </row>
    <row r="86" spans="2:17" ht="18.75" hidden="1">
      <c r="B86" s="46">
        <v>83</v>
      </c>
      <c r="C86" s="42"/>
      <c r="D86" s="43"/>
      <c r="E86" s="42"/>
      <c r="F86" s="43"/>
      <c r="G86" s="43"/>
      <c r="H86" s="42"/>
      <c r="I86" s="42"/>
      <c r="J86" s="42"/>
      <c r="K86" s="42"/>
      <c r="L86" s="42"/>
      <c r="M86" s="42"/>
      <c r="N86" s="262"/>
      <c r="O86" s="42"/>
      <c r="P86" s="298"/>
      <c r="Q86" s="49"/>
    </row>
    <row r="87" spans="2:17" ht="18.75" hidden="1">
      <c r="B87" s="46">
        <v>84</v>
      </c>
      <c r="C87" s="42"/>
      <c r="D87" s="43"/>
      <c r="E87" s="42"/>
      <c r="F87" s="43"/>
      <c r="G87" s="43"/>
      <c r="H87" s="42"/>
      <c r="I87" s="42"/>
      <c r="J87" s="42"/>
      <c r="K87" s="42"/>
      <c r="L87" s="42"/>
      <c r="M87" s="42"/>
      <c r="N87" s="262"/>
      <c r="O87" s="42"/>
      <c r="P87" s="298"/>
      <c r="Q87" s="49"/>
    </row>
    <row r="88" spans="2:17" ht="18.75" hidden="1">
      <c r="B88" s="46">
        <v>85</v>
      </c>
      <c r="C88" s="42"/>
      <c r="D88" s="43"/>
      <c r="E88" s="42"/>
      <c r="F88" s="43"/>
      <c r="G88" s="43"/>
      <c r="H88" s="42"/>
      <c r="I88" s="42"/>
      <c r="J88" s="42"/>
      <c r="K88" s="42"/>
      <c r="L88" s="42"/>
      <c r="M88" s="42"/>
      <c r="N88" s="262"/>
      <c r="O88" s="42"/>
      <c r="P88" s="298"/>
      <c r="Q88" s="49"/>
    </row>
    <row r="89" spans="2:17" ht="18.75" hidden="1">
      <c r="B89" s="46">
        <v>86</v>
      </c>
      <c r="C89" s="42"/>
      <c r="D89" s="43"/>
      <c r="E89" s="42"/>
      <c r="F89" s="43"/>
      <c r="G89" s="43"/>
      <c r="H89" s="42"/>
      <c r="I89" s="42"/>
      <c r="J89" s="42"/>
      <c r="K89" s="42"/>
      <c r="L89" s="42"/>
      <c r="M89" s="42"/>
      <c r="N89" s="262"/>
      <c r="O89" s="42"/>
      <c r="P89" s="298"/>
      <c r="Q89" s="49"/>
    </row>
    <row r="90" spans="2:17" ht="18.75" hidden="1">
      <c r="B90" s="46">
        <v>87</v>
      </c>
      <c r="C90" s="42"/>
      <c r="D90" s="43"/>
      <c r="E90" s="42"/>
      <c r="F90" s="43"/>
      <c r="G90" s="43"/>
      <c r="H90" s="42"/>
      <c r="I90" s="42"/>
      <c r="J90" s="42"/>
      <c r="K90" s="42"/>
      <c r="L90" s="42"/>
      <c r="M90" s="42"/>
      <c r="N90" s="262"/>
      <c r="O90" s="42"/>
      <c r="P90" s="298"/>
      <c r="Q90" s="49"/>
    </row>
    <row r="91" spans="2:17" ht="18.75" hidden="1">
      <c r="B91" s="46">
        <v>88</v>
      </c>
      <c r="C91" s="42"/>
      <c r="D91" s="43"/>
      <c r="E91" s="42"/>
      <c r="F91" s="43"/>
      <c r="G91" s="43"/>
      <c r="H91" s="42"/>
      <c r="I91" s="42"/>
      <c r="J91" s="42"/>
      <c r="K91" s="42"/>
      <c r="L91" s="42"/>
      <c r="M91" s="42"/>
      <c r="N91" s="262"/>
      <c r="O91" s="42"/>
      <c r="P91" s="298"/>
      <c r="Q91" s="49"/>
    </row>
    <row r="92" spans="2:17" ht="18.75" hidden="1">
      <c r="B92" s="46">
        <v>89</v>
      </c>
      <c r="C92" s="42"/>
      <c r="D92" s="43"/>
      <c r="E92" s="42"/>
      <c r="F92" s="43"/>
      <c r="G92" s="43"/>
      <c r="H92" s="42"/>
      <c r="I92" s="42"/>
      <c r="J92" s="42"/>
      <c r="K92" s="42"/>
      <c r="L92" s="42"/>
      <c r="M92" s="42"/>
      <c r="N92" s="262"/>
      <c r="O92" s="42"/>
      <c r="P92" s="298"/>
      <c r="Q92" s="49"/>
    </row>
    <row r="93" spans="2:17" ht="18.75" hidden="1">
      <c r="B93" s="46">
        <v>90</v>
      </c>
      <c r="C93" s="42"/>
      <c r="D93" s="43"/>
      <c r="E93" s="42"/>
      <c r="F93" s="43"/>
      <c r="G93" s="43"/>
      <c r="H93" s="42"/>
      <c r="I93" s="42"/>
      <c r="J93" s="42"/>
      <c r="K93" s="42"/>
      <c r="L93" s="42"/>
      <c r="M93" s="42"/>
      <c r="N93" s="262"/>
      <c r="O93" s="42"/>
      <c r="P93" s="298"/>
      <c r="Q93" s="49"/>
    </row>
    <row r="94" spans="2:17" ht="18.75" hidden="1">
      <c r="B94" s="46">
        <v>91</v>
      </c>
      <c r="C94" s="42"/>
      <c r="D94" s="43"/>
      <c r="E94" s="42"/>
      <c r="F94" s="43"/>
      <c r="G94" s="43"/>
      <c r="H94" s="42"/>
      <c r="I94" s="42"/>
      <c r="J94" s="42"/>
      <c r="K94" s="42"/>
      <c r="L94" s="42"/>
      <c r="M94" s="42"/>
      <c r="N94" s="262"/>
      <c r="O94" s="42"/>
      <c r="P94" s="298"/>
      <c r="Q94" s="49"/>
    </row>
    <row r="95" spans="2:17" ht="18.75" hidden="1">
      <c r="B95" s="46">
        <v>92</v>
      </c>
      <c r="C95" s="42"/>
      <c r="D95" s="43"/>
      <c r="E95" s="42"/>
      <c r="F95" s="43"/>
      <c r="G95" s="43"/>
      <c r="H95" s="42"/>
      <c r="I95" s="42"/>
      <c r="J95" s="42"/>
      <c r="K95" s="42"/>
      <c r="L95" s="42"/>
      <c r="M95" s="42"/>
      <c r="N95" s="262"/>
      <c r="O95" s="42"/>
      <c r="P95" s="298"/>
      <c r="Q95" s="49"/>
    </row>
    <row r="96" spans="2:17" ht="18.75" hidden="1">
      <c r="B96" s="46">
        <v>93</v>
      </c>
      <c r="C96" s="42"/>
      <c r="D96" s="43"/>
      <c r="E96" s="42"/>
      <c r="F96" s="43"/>
      <c r="G96" s="43"/>
      <c r="H96" s="42"/>
      <c r="I96" s="42"/>
      <c r="J96" s="42"/>
      <c r="K96" s="42"/>
      <c r="L96" s="42"/>
      <c r="M96" s="42"/>
      <c r="N96" s="262"/>
      <c r="O96" s="42"/>
      <c r="P96" s="298"/>
      <c r="Q96" s="49"/>
    </row>
    <row r="97" spans="2:17" ht="18.75" hidden="1">
      <c r="B97" s="46">
        <v>94</v>
      </c>
      <c r="C97" s="42"/>
      <c r="D97" s="43"/>
      <c r="E97" s="42"/>
      <c r="F97" s="43"/>
      <c r="G97" s="43"/>
      <c r="H97" s="42"/>
      <c r="I97" s="42"/>
      <c r="J97" s="42"/>
      <c r="K97" s="42"/>
      <c r="L97" s="42"/>
      <c r="M97" s="42"/>
      <c r="N97" s="262"/>
      <c r="O97" s="42"/>
      <c r="P97" s="298"/>
      <c r="Q97" s="49"/>
    </row>
    <row r="98" spans="2:17" ht="18.75" hidden="1">
      <c r="B98" s="46">
        <v>95</v>
      </c>
      <c r="C98" s="42"/>
      <c r="D98" s="43"/>
      <c r="E98" s="42"/>
      <c r="F98" s="43"/>
      <c r="G98" s="43"/>
      <c r="H98" s="42"/>
      <c r="I98" s="42"/>
      <c r="J98" s="42"/>
      <c r="K98" s="42"/>
      <c r="L98" s="42"/>
      <c r="M98" s="42"/>
      <c r="N98" s="262"/>
      <c r="O98" s="42"/>
      <c r="P98" s="298"/>
      <c r="Q98" s="49"/>
    </row>
    <row r="99" spans="2:17" ht="18.75" hidden="1">
      <c r="B99" s="46">
        <v>96</v>
      </c>
      <c r="C99" s="42"/>
      <c r="D99" s="43"/>
      <c r="E99" s="42"/>
      <c r="F99" s="43"/>
      <c r="G99" s="43"/>
      <c r="H99" s="42"/>
      <c r="I99" s="42"/>
      <c r="J99" s="42"/>
      <c r="K99" s="42"/>
      <c r="L99" s="42"/>
      <c r="M99" s="42"/>
      <c r="N99" s="262"/>
      <c r="O99" s="42"/>
      <c r="P99" s="298"/>
      <c r="Q99" s="49"/>
    </row>
    <row r="100" spans="2:17" ht="18.75" hidden="1">
      <c r="B100" s="46">
        <v>97</v>
      </c>
      <c r="C100" s="42"/>
      <c r="D100" s="43"/>
      <c r="E100" s="42"/>
      <c r="F100" s="43"/>
      <c r="G100" s="43"/>
      <c r="H100" s="42"/>
      <c r="I100" s="42"/>
      <c r="J100" s="42"/>
      <c r="K100" s="42"/>
      <c r="L100" s="42"/>
      <c r="M100" s="42"/>
      <c r="N100" s="262"/>
      <c r="O100" s="42"/>
      <c r="P100" s="298"/>
      <c r="Q100" s="49"/>
    </row>
    <row r="101" spans="2:17" ht="18.75" hidden="1">
      <c r="B101" s="46">
        <v>98</v>
      </c>
      <c r="C101" s="42"/>
      <c r="D101" s="43"/>
      <c r="E101" s="42"/>
      <c r="F101" s="43"/>
      <c r="G101" s="43"/>
      <c r="H101" s="42"/>
      <c r="I101" s="42"/>
      <c r="J101" s="42"/>
      <c r="K101" s="42"/>
      <c r="L101" s="42"/>
      <c r="M101" s="42"/>
      <c r="N101" s="262"/>
      <c r="O101" s="42"/>
      <c r="P101" s="298"/>
      <c r="Q101" s="49"/>
    </row>
    <row r="102" spans="2:17" ht="18.75" hidden="1">
      <c r="B102" s="46">
        <v>99</v>
      </c>
      <c r="C102" s="42"/>
      <c r="D102" s="43"/>
      <c r="E102" s="42"/>
      <c r="F102" s="43"/>
      <c r="G102" s="43"/>
      <c r="H102" s="42"/>
      <c r="I102" s="42"/>
      <c r="J102" s="42"/>
      <c r="K102" s="42"/>
      <c r="L102" s="42"/>
      <c r="M102" s="42"/>
      <c r="N102" s="262"/>
      <c r="O102" s="42"/>
      <c r="P102" s="298"/>
      <c r="Q102" s="49"/>
    </row>
    <row r="103" spans="2:17" ht="18.75" hidden="1">
      <c r="B103" s="46">
        <v>100</v>
      </c>
      <c r="C103" s="42"/>
      <c r="D103" s="43"/>
      <c r="E103" s="42"/>
      <c r="F103" s="43"/>
      <c r="G103" s="43"/>
      <c r="H103" s="42"/>
      <c r="I103" s="42"/>
      <c r="J103" s="42"/>
      <c r="K103" s="42"/>
      <c r="L103" s="42"/>
      <c r="M103" s="42"/>
      <c r="N103" s="262"/>
      <c r="O103" s="42"/>
      <c r="P103" s="298"/>
      <c r="Q103" s="49"/>
    </row>
    <row r="104" spans="2:17" ht="18.75" hidden="1">
      <c r="B104" s="46">
        <v>101</v>
      </c>
      <c r="C104" s="42"/>
      <c r="D104" s="43"/>
      <c r="E104" s="42"/>
      <c r="F104" s="43"/>
      <c r="G104" s="43"/>
      <c r="H104" s="42"/>
      <c r="I104" s="42"/>
      <c r="J104" s="42"/>
      <c r="K104" s="42"/>
      <c r="L104" s="42"/>
      <c r="M104" s="42"/>
      <c r="N104" s="262"/>
      <c r="O104" s="42"/>
      <c r="P104" s="298"/>
      <c r="Q104" s="49"/>
    </row>
    <row r="105" spans="2:17" ht="18.75" hidden="1">
      <c r="B105" s="46">
        <v>102</v>
      </c>
      <c r="C105" s="42"/>
      <c r="D105" s="43"/>
      <c r="E105" s="42"/>
      <c r="F105" s="43"/>
      <c r="G105" s="43"/>
      <c r="H105" s="42"/>
      <c r="I105" s="42"/>
      <c r="J105" s="42"/>
      <c r="K105" s="42"/>
      <c r="L105" s="42"/>
      <c r="M105" s="42"/>
      <c r="N105" s="262"/>
      <c r="O105" s="42"/>
      <c r="P105" s="298"/>
      <c r="Q105" s="49"/>
    </row>
    <row r="106" spans="2:17" ht="18.75" hidden="1">
      <c r="B106" s="46">
        <v>103</v>
      </c>
      <c r="C106" s="42"/>
      <c r="D106" s="43"/>
      <c r="E106" s="42"/>
      <c r="F106" s="43"/>
      <c r="G106" s="43"/>
      <c r="H106" s="42"/>
      <c r="I106" s="42"/>
      <c r="J106" s="42"/>
      <c r="K106" s="42"/>
      <c r="L106" s="42"/>
      <c r="M106" s="42"/>
      <c r="N106" s="262"/>
      <c r="O106" s="42"/>
      <c r="P106" s="298"/>
      <c r="Q106" s="49"/>
    </row>
    <row r="107" spans="2:17" ht="18.75" hidden="1">
      <c r="B107" s="46">
        <v>104</v>
      </c>
      <c r="C107" s="42"/>
      <c r="D107" s="43"/>
      <c r="E107" s="42"/>
      <c r="F107" s="43"/>
      <c r="G107" s="43"/>
      <c r="H107" s="42"/>
      <c r="I107" s="42"/>
      <c r="J107" s="42"/>
      <c r="K107" s="42"/>
      <c r="L107" s="42"/>
      <c r="M107" s="42"/>
      <c r="N107" s="262"/>
      <c r="O107" s="42"/>
      <c r="P107" s="298"/>
      <c r="Q107" s="49"/>
    </row>
    <row r="108" spans="2:17" ht="18.75" hidden="1">
      <c r="B108" s="46">
        <v>105</v>
      </c>
      <c r="C108" s="42"/>
      <c r="D108" s="43"/>
      <c r="E108" s="42"/>
      <c r="F108" s="43"/>
      <c r="G108" s="43"/>
      <c r="H108" s="42"/>
      <c r="I108" s="42"/>
      <c r="J108" s="42"/>
      <c r="K108" s="42"/>
      <c r="L108" s="42"/>
      <c r="M108" s="42"/>
      <c r="N108" s="262"/>
      <c r="O108" s="42"/>
      <c r="P108" s="298"/>
      <c r="Q108" s="49"/>
    </row>
    <row r="109" spans="2:17" ht="18.75" hidden="1">
      <c r="B109" s="46">
        <v>106</v>
      </c>
      <c r="C109" s="42"/>
      <c r="D109" s="43"/>
      <c r="E109" s="42"/>
      <c r="F109" s="43"/>
      <c r="G109" s="43"/>
      <c r="H109" s="42"/>
      <c r="I109" s="42"/>
      <c r="J109" s="42"/>
      <c r="K109" s="42"/>
      <c r="L109" s="42"/>
      <c r="M109" s="42"/>
      <c r="N109" s="262"/>
      <c r="O109" s="42"/>
      <c r="P109" s="298"/>
      <c r="Q109" s="49"/>
    </row>
    <row r="110" spans="2:17" ht="18.75" hidden="1">
      <c r="B110" s="46">
        <v>107</v>
      </c>
      <c r="C110" s="42"/>
      <c r="D110" s="43"/>
      <c r="E110" s="42"/>
      <c r="F110" s="43"/>
      <c r="G110" s="43"/>
      <c r="H110" s="42"/>
      <c r="I110" s="42"/>
      <c r="J110" s="42"/>
      <c r="K110" s="42"/>
      <c r="L110" s="42"/>
      <c r="M110" s="42"/>
      <c r="N110" s="262"/>
      <c r="O110" s="42"/>
      <c r="P110" s="298"/>
      <c r="Q110" s="49"/>
    </row>
    <row r="111" spans="2:17" ht="18.75" hidden="1">
      <c r="B111" s="46">
        <v>108</v>
      </c>
      <c r="C111" s="42"/>
      <c r="D111" s="43"/>
      <c r="E111" s="42"/>
      <c r="F111" s="43"/>
      <c r="G111" s="43"/>
      <c r="H111" s="42"/>
      <c r="I111" s="42"/>
      <c r="J111" s="42"/>
      <c r="K111" s="42"/>
      <c r="L111" s="42"/>
      <c r="M111" s="42"/>
      <c r="N111" s="262"/>
      <c r="O111" s="42"/>
      <c r="P111" s="298"/>
      <c r="Q111" s="49"/>
    </row>
    <row r="112" spans="2:17" ht="18.75" hidden="1">
      <c r="B112" s="46">
        <v>109</v>
      </c>
      <c r="C112" s="42"/>
      <c r="D112" s="43"/>
      <c r="E112" s="42"/>
      <c r="F112" s="43"/>
      <c r="G112" s="43"/>
      <c r="H112" s="42"/>
      <c r="I112" s="42"/>
      <c r="J112" s="42"/>
      <c r="K112" s="42"/>
      <c r="L112" s="42"/>
      <c r="M112" s="42"/>
      <c r="N112" s="262"/>
      <c r="O112" s="42"/>
      <c r="P112" s="298"/>
      <c r="Q112" s="49"/>
    </row>
    <row r="113" spans="2:17" ht="18.75" hidden="1">
      <c r="B113" s="46">
        <v>110</v>
      </c>
      <c r="C113" s="42"/>
      <c r="D113" s="43"/>
      <c r="E113" s="42"/>
      <c r="F113" s="43"/>
      <c r="G113" s="43"/>
      <c r="H113" s="42"/>
      <c r="I113" s="42"/>
      <c r="J113" s="42"/>
      <c r="K113" s="42"/>
      <c r="L113" s="42"/>
      <c r="M113" s="42"/>
      <c r="N113" s="262"/>
      <c r="O113" s="42"/>
      <c r="P113" s="298"/>
      <c r="Q113" s="49"/>
    </row>
    <row r="114" spans="2:17" ht="18.75" hidden="1">
      <c r="B114" s="46">
        <v>111</v>
      </c>
      <c r="C114" s="42"/>
      <c r="D114" s="43"/>
      <c r="E114" s="42"/>
      <c r="F114" s="43"/>
      <c r="G114" s="43"/>
      <c r="H114" s="42"/>
      <c r="I114" s="42"/>
      <c r="J114" s="42"/>
      <c r="K114" s="42"/>
      <c r="L114" s="42"/>
      <c r="M114" s="42"/>
      <c r="N114" s="262"/>
      <c r="O114" s="42"/>
      <c r="P114" s="298"/>
      <c r="Q114" s="49"/>
    </row>
    <row r="115" spans="2:17" ht="18.75" hidden="1">
      <c r="B115" s="46">
        <v>112</v>
      </c>
      <c r="C115" s="42"/>
      <c r="D115" s="43"/>
      <c r="E115" s="42"/>
      <c r="F115" s="43"/>
      <c r="G115" s="43"/>
      <c r="H115" s="42"/>
      <c r="I115" s="42"/>
      <c r="J115" s="42"/>
      <c r="K115" s="42"/>
      <c r="L115" s="42"/>
      <c r="M115" s="42"/>
      <c r="N115" s="262"/>
      <c r="O115" s="42"/>
      <c r="P115" s="298"/>
      <c r="Q115" s="49"/>
    </row>
    <row r="116" spans="2:17" ht="18.75" hidden="1">
      <c r="B116" s="46">
        <v>113</v>
      </c>
      <c r="C116" s="42"/>
      <c r="D116" s="43"/>
      <c r="E116" s="42"/>
      <c r="F116" s="43"/>
      <c r="G116" s="43"/>
      <c r="H116" s="42"/>
      <c r="I116" s="42"/>
      <c r="J116" s="42"/>
      <c r="K116" s="42"/>
      <c r="L116" s="42"/>
      <c r="M116" s="42"/>
      <c r="N116" s="262"/>
      <c r="O116" s="42"/>
      <c r="P116" s="298"/>
      <c r="Q116" s="49"/>
    </row>
    <row r="117" spans="2:17" ht="18.75" hidden="1">
      <c r="B117" s="46">
        <v>114</v>
      </c>
      <c r="C117" s="42"/>
      <c r="D117" s="43"/>
      <c r="E117" s="42"/>
      <c r="F117" s="43"/>
      <c r="G117" s="43"/>
      <c r="H117" s="42"/>
      <c r="I117" s="42"/>
      <c r="J117" s="42"/>
      <c r="K117" s="42"/>
      <c r="L117" s="42"/>
      <c r="M117" s="42"/>
      <c r="N117" s="262"/>
      <c r="O117" s="42"/>
      <c r="P117" s="298"/>
      <c r="Q117" s="49"/>
    </row>
    <row r="118" spans="2:17" ht="18.75" hidden="1">
      <c r="B118" s="46">
        <v>115</v>
      </c>
      <c r="C118" s="42"/>
      <c r="D118" s="43"/>
      <c r="E118" s="42"/>
      <c r="F118" s="43"/>
      <c r="G118" s="43"/>
      <c r="H118" s="42"/>
      <c r="I118" s="42"/>
      <c r="J118" s="42"/>
      <c r="K118" s="42"/>
      <c r="L118" s="42"/>
      <c r="M118" s="42"/>
      <c r="N118" s="262"/>
      <c r="O118" s="42"/>
      <c r="P118" s="298"/>
      <c r="Q118" s="49"/>
    </row>
    <row r="119" spans="2:17" ht="18.75" hidden="1">
      <c r="B119" s="46">
        <v>116</v>
      </c>
      <c r="C119" s="42"/>
      <c r="D119" s="43"/>
      <c r="E119" s="42"/>
      <c r="F119" s="43"/>
      <c r="G119" s="43"/>
      <c r="H119" s="42"/>
      <c r="I119" s="42"/>
      <c r="J119" s="42"/>
      <c r="K119" s="42"/>
      <c r="L119" s="42"/>
      <c r="M119" s="42"/>
      <c r="N119" s="262"/>
      <c r="O119" s="42"/>
      <c r="P119" s="298"/>
      <c r="Q119" s="49"/>
    </row>
    <row r="120" spans="2:17" ht="18.75" hidden="1">
      <c r="B120" s="46">
        <v>117</v>
      </c>
      <c r="C120" s="42"/>
      <c r="D120" s="43"/>
      <c r="E120" s="42"/>
      <c r="F120" s="43"/>
      <c r="G120" s="43"/>
      <c r="H120" s="42"/>
      <c r="I120" s="42"/>
      <c r="J120" s="42"/>
      <c r="K120" s="42"/>
      <c r="L120" s="42"/>
      <c r="M120" s="42"/>
      <c r="N120" s="262"/>
      <c r="O120" s="42"/>
      <c r="P120" s="298"/>
      <c r="Q120" s="49"/>
    </row>
    <row r="121" spans="2:17" ht="18.75" hidden="1">
      <c r="B121" s="46">
        <v>118</v>
      </c>
      <c r="C121" s="42"/>
      <c r="D121" s="43"/>
      <c r="E121" s="42"/>
      <c r="F121" s="43"/>
      <c r="G121" s="43"/>
      <c r="H121" s="42"/>
      <c r="I121" s="42"/>
      <c r="J121" s="42"/>
      <c r="K121" s="42"/>
      <c r="L121" s="42"/>
      <c r="M121" s="42"/>
      <c r="N121" s="262"/>
      <c r="O121" s="42"/>
      <c r="P121" s="298"/>
      <c r="Q121" s="49"/>
    </row>
    <row r="122" spans="2:17" ht="18.75" hidden="1">
      <c r="B122" s="46">
        <v>119</v>
      </c>
      <c r="C122" s="42"/>
      <c r="D122" s="43"/>
      <c r="E122" s="42"/>
      <c r="F122" s="43"/>
      <c r="G122" s="43"/>
      <c r="H122" s="42"/>
      <c r="I122" s="42"/>
      <c r="J122" s="42"/>
      <c r="K122" s="42"/>
      <c r="L122" s="42"/>
      <c r="M122" s="42"/>
      <c r="N122" s="262"/>
      <c r="O122" s="42"/>
      <c r="P122" s="298"/>
      <c r="Q122" s="49"/>
    </row>
    <row r="123" spans="2:17" ht="18.75" hidden="1">
      <c r="B123" s="46">
        <v>120</v>
      </c>
      <c r="C123" s="42"/>
      <c r="D123" s="43"/>
      <c r="E123" s="42"/>
      <c r="F123" s="43"/>
      <c r="G123" s="43"/>
      <c r="H123" s="42"/>
      <c r="I123" s="42"/>
      <c r="J123" s="42"/>
      <c r="K123" s="42"/>
      <c r="L123" s="42"/>
      <c r="M123" s="42"/>
      <c r="N123" s="262"/>
      <c r="O123" s="42"/>
      <c r="P123" s="298"/>
      <c r="Q123" s="49"/>
    </row>
    <row r="124" spans="2:17" ht="18.75" hidden="1">
      <c r="B124" s="46">
        <v>121</v>
      </c>
      <c r="C124" s="42"/>
      <c r="D124" s="43"/>
      <c r="E124" s="42"/>
      <c r="F124" s="43"/>
      <c r="G124" s="43"/>
      <c r="H124" s="42"/>
      <c r="I124" s="42"/>
      <c r="J124" s="42"/>
      <c r="K124" s="42"/>
      <c r="L124" s="42"/>
      <c r="M124" s="42"/>
      <c r="N124" s="262"/>
      <c r="O124" s="42"/>
      <c r="P124" s="298"/>
      <c r="Q124" s="49"/>
    </row>
    <row r="125" spans="2:17" ht="18.75" hidden="1">
      <c r="B125" s="46">
        <v>122</v>
      </c>
      <c r="C125" s="42"/>
      <c r="D125" s="43"/>
      <c r="E125" s="42"/>
      <c r="F125" s="43"/>
      <c r="G125" s="43"/>
      <c r="H125" s="42"/>
      <c r="I125" s="42"/>
      <c r="J125" s="42"/>
      <c r="K125" s="42"/>
      <c r="L125" s="42"/>
      <c r="M125" s="42"/>
      <c r="N125" s="262"/>
      <c r="O125" s="42"/>
      <c r="P125" s="298"/>
      <c r="Q125" s="49"/>
    </row>
    <row r="126" spans="2:17" ht="18.75" hidden="1">
      <c r="B126" s="46">
        <v>123</v>
      </c>
      <c r="C126" s="42"/>
      <c r="D126" s="43"/>
      <c r="E126" s="42"/>
      <c r="F126" s="43"/>
      <c r="G126" s="43"/>
      <c r="H126" s="42"/>
      <c r="I126" s="42"/>
      <c r="J126" s="42"/>
      <c r="K126" s="42"/>
      <c r="L126" s="42"/>
      <c r="M126" s="42"/>
      <c r="N126" s="262"/>
      <c r="O126" s="42"/>
      <c r="P126" s="298"/>
      <c r="Q126" s="49"/>
    </row>
    <row r="127" spans="2:17" ht="18.75" hidden="1">
      <c r="B127" s="46">
        <v>124</v>
      </c>
      <c r="C127" s="42"/>
      <c r="D127" s="43"/>
      <c r="E127" s="42"/>
      <c r="F127" s="43"/>
      <c r="G127" s="43"/>
      <c r="H127" s="42"/>
      <c r="I127" s="42"/>
      <c r="J127" s="42"/>
      <c r="K127" s="42"/>
      <c r="L127" s="42"/>
      <c r="M127" s="42"/>
      <c r="N127" s="262"/>
      <c r="O127" s="42"/>
      <c r="P127" s="298"/>
      <c r="Q127" s="49"/>
    </row>
    <row r="128" spans="2:17" ht="18.75" hidden="1">
      <c r="B128" s="46">
        <v>125</v>
      </c>
      <c r="C128" s="42"/>
      <c r="D128" s="43"/>
      <c r="E128" s="42"/>
      <c r="F128" s="43"/>
      <c r="G128" s="43"/>
      <c r="H128" s="42"/>
      <c r="I128" s="42"/>
      <c r="J128" s="42"/>
      <c r="K128" s="42"/>
      <c r="L128" s="42"/>
      <c r="M128" s="42"/>
      <c r="N128" s="262"/>
      <c r="O128" s="42"/>
      <c r="P128" s="298"/>
      <c r="Q128" s="49"/>
    </row>
    <row r="129" spans="2:17" ht="18.75" hidden="1">
      <c r="B129" s="46">
        <v>126</v>
      </c>
      <c r="C129" s="42"/>
      <c r="D129" s="43"/>
      <c r="E129" s="42"/>
      <c r="F129" s="43"/>
      <c r="G129" s="43"/>
      <c r="H129" s="42"/>
      <c r="I129" s="42"/>
      <c r="J129" s="42"/>
      <c r="K129" s="42"/>
      <c r="L129" s="42"/>
      <c r="M129" s="42"/>
      <c r="N129" s="262"/>
      <c r="O129" s="42"/>
      <c r="P129" s="298"/>
      <c r="Q129" s="49"/>
    </row>
    <row r="130" spans="2:17" ht="18.75" hidden="1">
      <c r="B130" s="46">
        <v>127</v>
      </c>
      <c r="C130" s="42"/>
      <c r="D130" s="43"/>
      <c r="E130" s="42"/>
      <c r="F130" s="43"/>
      <c r="G130" s="43"/>
      <c r="H130" s="42"/>
      <c r="I130" s="42"/>
      <c r="J130" s="42"/>
      <c r="K130" s="42"/>
      <c r="L130" s="42"/>
      <c r="M130" s="42"/>
      <c r="N130" s="262"/>
      <c r="O130" s="42"/>
      <c r="P130" s="298"/>
      <c r="Q130" s="49"/>
    </row>
    <row r="131" spans="2:17" ht="18.75" hidden="1">
      <c r="B131" s="46">
        <v>128</v>
      </c>
      <c r="C131" s="42"/>
      <c r="D131" s="43"/>
      <c r="E131" s="42"/>
      <c r="F131" s="43"/>
      <c r="G131" s="43"/>
      <c r="H131" s="42"/>
      <c r="I131" s="42"/>
      <c r="J131" s="42"/>
      <c r="K131" s="42"/>
      <c r="L131" s="42"/>
      <c r="M131" s="42"/>
      <c r="N131" s="262"/>
      <c r="O131" s="42"/>
      <c r="P131" s="298"/>
      <c r="Q131" s="49"/>
    </row>
    <row r="132" spans="2:17" ht="19.5" hidden="1" thickBot="1">
      <c r="B132" s="46">
        <v>129</v>
      </c>
      <c r="C132" s="299"/>
      <c r="D132" s="300"/>
      <c r="E132" s="299"/>
      <c r="F132" s="300"/>
      <c r="G132" s="300"/>
      <c r="H132" s="299"/>
      <c r="I132" s="299"/>
      <c r="J132" s="299"/>
      <c r="K132" s="299"/>
      <c r="L132" s="299"/>
      <c r="M132" s="299"/>
      <c r="N132" s="301"/>
      <c r="O132" s="299"/>
      <c r="P132" s="319"/>
      <c r="Q132" s="302"/>
    </row>
  </sheetData>
  <autoFilter ref="B3:Q132" xr:uid="{E8283617-D2AB-4016-8401-834CA85B1BF0}">
    <filterColumn colId="2">
      <filters>
        <filter val="Energy"/>
      </filters>
    </filterColumn>
    <filterColumn colId="4">
      <filters>
        <filter val="Cost"/>
        <filter val="Investment"/>
      </filters>
    </filterColumn>
    <sortState xmlns:xlrd2="http://schemas.microsoft.com/office/spreadsheetml/2017/richdata2" ref="B4:Q132">
      <sortCondition ref="B3:B132"/>
    </sortState>
  </autoFilter>
  <phoneticPr fontId="39" type="noConversion"/>
  <conditionalFormatting sqref="D4:D42">
    <cfRule type="containsText" dxfId="23" priority="1" operator="containsText" text="Public Space">
      <formula>NOT(ISERROR(SEARCH("Public Space",D4)))</formula>
    </cfRule>
    <cfRule type="containsText" dxfId="21" priority="72" operator="containsText" text="Greenery">
      <formula>NOT(ISERROR(SEARCH("Greenery",D4)))</formula>
    </cfRule>
    <cfRule type="containsText" dxfId="20" priority="73" operator="containsText" text="Mobility">
      <formula>NOT(ISERROR(SEARCH("Mobility",D4)))</formula>
    </cfRule>
    <cfRule type="containsText" dxfId="19" priority="74" operator="containsText" text="Energy">
      <formula>NOT(ISERROR(SEARCH("Energy",D4)))</formula>
    </cfRule>
    <cfRule type="containsText" dxfId="18" priority="75" operator="containsText" text="Water">
      <formula>NOT(ISERROR(SEARCH("Water",D4)))</formula>
    </cfRule>
  </conditionalFormatting>
  <conditionalFormatting sqref="D44:D132">
    <cfRule type="containsText" dxfId="16" priority="42" operator="containsText" text="Greenery">
      <formula>NOT(ISERROR(SEARCH("Greenery",D44)))</formula>
    </cfRule>
    <cfRule type="containsText" dxfId="15" priority="43" operator="containsText" text="Mobility">
      <formula>NOT(ISERROR(SEARCH("Mobility",D44)))</formula>
    </cfRule>
    <cfRule type="containsText" dxfId="14" priority="44" operator="containsText" text="Energy">
      <formula>NOT(ISERROR(SEARCH("Energy",D44)))</formula>
    </cfRule>
    <cfRule type="containsText" dxfId="13" priority="45" operator="containsText" text="Water">
      <formula>NOT(ISERROR(SEARCH("Water",D44)))</formula>
    </cfRule>
  </conditionalFormatting>
  <conditionalFormatting sqref="F4:G38 F39 F40:G42">
    <cfRule type="containsText" dxfId="12" priority="79" operator="containsText" text="Investment">
      <formula>NOT(ISERROR(SEARCH("Investment",F4)))</formula>
    </cfRule>
    <cfRule type="containsText" dxfId="11" priority="80" operator="containsText" text="Cost">
      <formula>NOT(ISERROR(SEARCH("Cost",F4)))</formula>
    </cfRule>
    <cfRule type="containsText" dxfId="10" priority="81" operator="containsText" text="Benefit">
      <formula>NOT(ISERROR(SEARCH("Benefit",F4)))</formula>
    </cfRule>
  </conditionalFormatting>
  <conditionalFormatting sqref="F44:G132">
    <cfRule type="containsText" dxfId="9" priority="46" operator="containsText" text="Investment">
      <formula>NOT(ISERROR(SEARCH("Investment",F44)))</formula>
    </cfRule>
    <cfRule type="containsText" dxfId="8" priority="47" operator="containsText" text="Cost">
      <formula>NOT(ISERROR(SEARCH("Cost",F44)))</formula>
    </cfRule>
    <cfRule type="containsText" dxfId="7" priority="48" operator="containsText" text="Benefit">
      <formula>NOT(ISERROR(SEARCH("Benefit",F44)))</formula>
    </cfRule>
  </conditionalFormatting>
  <dataValidations count="3">
    <dataValidation type="list" allowBlank="1" showInputMessage="1" showErrorMessage="1" sqref="F12 F4:F10 F14 F28:F42" xr:uid="{1A6BDA89-DB57-4D41-8050-7FA01B1D5D70}">
      <formula1>"Benefit, Cost, Investment"</formula1>
    </dataValidation>
    <dataValidation type="list" allowBlank="1" showInputMessage="1" showErrorMessage="1" sqref="D4:D42" xr:uid="{9236F474-FCF4-425A-ACD2-0269B91B2191}">
      <formula1>"Energy, Greenery, Public Space, Mobility, Water, -"</formula1>
    </dataValidation>
    <dataValidation type="list" allowBlank="1" showInputMessage="1" showErrorMessage="1" sqref="E4:E42" xr:uid="{35515CE7-2372-6441-A0B7-6406A9B2156C}">
      <formula1>"NUS Student and Staff, NUS &amp; University Campus Infrastructure, Government Bodies, "</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containsText" priority="71" operator="containsText" id="{0CAC7E68-A6E6-CE47-B135-8FDFDA696B52}">
            <xm:f>NOT(ISERROR(SEARCH("-",D4)))</xm:f>
            <xm:f>"-"</xm:f>
            <x14:dxf>
              <fill>
                <patternFill>
                  <bgColor rgb="FFFFFF99"/>
                </patternFill>
              </fill>
            </x14:dxf>
          </x14:cfRule>
          <xm:sqref>D4:D42</xm:sqref>
        </x14:conditionalFormatting>
        <x14:conditionalFormatting xmlns:xm="http://schemas.microsoft.com/office/excel/2006/main">
          <x14:cfRule type="containsText" priority="41" operator="containsText" id="{C7DCD345-95FB-E344-BFF8-E4B1CB87A7B4}">
            <xm:f>NOT(ISERROR(SEARCH("-",D44)))</xm:f>
            <xm:f>"-"</xm:f>
            <x14:dxf>
              <fill>
                <patternFill>
                  <bgColor rgb="FFFFFF99"/>
                </patternFill>
              </fill>
            </x14:dxf>
          </x14:cfRule>
          <xm:sqref>D44:D132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7EEC8-008C-4799-A312-CF0309A5E99A}">
  <dimension ref="A1:I76"/>
  <sheetViews>
    <sheetView showGridLines="0" workbookViewId="0">
      <pane ySplit="1" topLeftCell="A2" activePane="bottomLeft" state="frozen"/>
      <selection pane="bottomLeft" activeCell="A66" sqref="A66"/>
    </sheetView>
  </sheetViews>
  <sheetFormatPr defaultColWidth="8.85546875" defaultRowHeight="15" outlineLevelRow="1"/>
  <cols>
    <col min="1" max="1" width="74.42578125" bestFit="1" customWidth="1"/>
    <col min="2" max="2" width="14.85546875" bestFit="1" customWidth="1"/>
    <col min="4" max="4" width="25.85546875" bestFit="1" customWidth="1"/>
    <col min="5" max="5" width="41.85546875" customWidth="1"/>
    <col min="6" max="6" width="49.28515625" customWidth="1"/>
    <col min="9" max="9" width="11" bestFit="1" customWidth="1"/>
  </cols>
  <sheetData>
    <row r="1" spans="1:9" ht="18.75">
      <c r="A1" s="59" t="s">
        <v>46</v>
      </c>
      <c r="B1" s="59" t="s">
        <v>48</v>
      </c>
      <c r="C1" s="59" t="s">
        <v>275</v>
      </c>
      <c r="D1" s="59" t="s">
        <v>276</v>
      </c>
      <c r="E1" s="59" t="s">
        <v>277</v>
      </c>
      <c r="F1" s="59" t="s">
        <v>50</v>
      </c>
    </row>
    <row r="3" spans="1:9" ht="18.75">
      <c r="A3" s="3" t="s">
        <v>278</v>
      </c>
    </row>
    <row r="4" spans="1:9" hidden="1" outlineLevel="1">
      <c r="A4" t="s">
        <v>279</v>
      </c>
      <c r="B4" s="211">
        <v>1500000</v>
      </c>
      <c r="C4" s="50" t="s">
        <v>239</v>
      </c>
      <c r="D4" s="60" t="s">
        <v>280</v>
      </c>
      <c r="E4" s="60" t="s">
        <v>281</v>
      </c>
    </row>
    <row r="5" spans="1:9" hidden="1" outlineLevel="1">
      <c r="A5" s="283" t="s">
        <v>282</v>
      </c>
      <c r="B5" s="284">
        <f>B7-B6</f>
        <v>490000</v>
      </c>
      <c r="C5" s="278" t="s">
        <v>239</v>
      </c>
      <c r="D5" s="44" t="s">
        <v>280</v>
      </c>
      <c r="E5" s="282"/>
      <c r="F5" t="s">
        <v>284</v>
      </c>
      <c r="I5" s="284"/>
    </row>
    <row r="6" spans="1:9" hidden="1" outlineLevel="1">
      <c r="A6" t="s">
        <v>285</v>
      </c>
      <c r="B6" s="281">
        <f>2.6*10000</f>
        <v>26000</v>
      </c>
      <c r="C6" s="50" t="s">
        <v>239</v>
      </c>
      <c r="D6" s="60"/>
      <c r="E6" s="237"/>
    </row>
    <row r="7" spans="1:9" hidden="1" outlineLevel="1">
      <c r="A7" t="s">
        <v>286</v>
      </c>
      <c r="B7" s="281">
        <f>51.6*10000</f>
        <v>516000</v>
      </c>
      <c r="C7" s="50" t="s">
        <v>239</v>
      </c>
      <c r="D7" s="60"/>
      <c r="E7" s="237"/>
    </row>
    <row r="8" spans="1:9" hidden="1" outlineLevel="1">
      <c r="A8" t="s">
        <v>287</v>
      </c>
      <c r="B8" s="281">
        <v>3</v>
      </c>
      <c r="C8" s="50" t="s">
        <v>288</v>
      </c>
      <c r="D8" s="60" t="s">
        <v>280</v>
      </c>
      <c r="E8" s="60"/>
    </row>
    <row r="9" spans="1:9" s="10" customFormat="1" ht="72.75" hidden="1" customHeight="1" outlineLevel="1">
      <c r="A9" s="10" t="s">
        <v>289</v>
      </c>
      <c r="B9" s="276">
        <f>Scenario!B5</f>
        <v>7.0000000000000007E-2</v>
      </c>
      <c r="C9" s="271" t="s">
        <v>290</v>
      </c>
      <c r="D9" s="44" t="s">
        <v>283</v>
      </c>
      <c r="E9" s="272" t="s">
        <v>291</v>
      </c>
      <c r="F9" s="9" t="s">
        <v>292</v>
      </c>
    </row>
    <row r="10" spans="1:9" hidden="1" outlineLevel="1">
      <c r="A10" t="s">
        <v>293</v>
      </c>
      <c r="B10" s="270">
        <v>38000</v>
      </c>
      <c r="C10" s="50" t="s">
        <v>294</v>
      </c>
      <c r="D10" s="60" t="s">
        <v>280</v>
      </c>
      <c r="E10" s="237"/>
    </row>
    <row r="11" spans="1:9" hidden="1" outlineLevel="1">
      <c r="A11" t="s">
        <v>295</v>
      </c>
      <c r="B11" s="208">
        <v>1450000</v>
      </c>
      <c r="C11" s="50" t="s">
        <v>239</v>
      </c>
      <c r="D11" s="60"/>
    </row>
    <row r="12" spans="1:9" hidden="1" outlineLevel="1">
      <c r="A12" t="s">
        <v>296</v>
      </c>
      <c r="B12" s="208">
        <f>SQRT(B11/3.14)-SQRT(B6/3.14)</f>
        <v>588.55059018248835</v>
      </c>
      <c r="C12" s="50" t="s">
        <v>249</v>
      </c>
      <c r="D12" s="60"/>
    </row>
    <row r="13" spans="1:9" hidden="1" outlineLevel="1">
      <c r="A13" t="s">
        <v>297</v>
      </c>
      <c r="B13" s="208">
        <f>SQRT(B11/3.14)-SQRT(B7/3.14)</f>
        <v>274.16863445623142</v>
      </c>
      <c r="C13" s="50" t="s">
        <v>249</v>
      </c>
      <c r="D13" s="60"/>
    </row>
    <row r="14" spans="1:9" hidden="1" outlineLevel="1">
      <c r="A14" t="s">
        <v>298</v>
      </c>
      <c r="B14" s="208">
        <v>3</v>
      </c>
      <c r="C14" s="50" t="s">
        <v>203</v>
      </c>
      <c r="D14" s="60"/>
    </row>
    <row r="15" spans="1:9" ht="15.75" hidden="1" outlineLevel="1">
      <c r="A15" t="s">
        <v>299</v>
      </c>
      <c r="B15" s="208">
        <v>3.5</v>
      </c>
      <c r="C15" s="50" t="s">
        <v>203</v>
      </c>
      <c r="D15" s="60"/>
      <c r="F15" s="304"/>
    </row>
    <row r="16" spans="1:9" ht="45" hidden="1" outlineLevel="1">
      <c r="A16" t="s">
        <v>300</v>
      </c>
      <c r="B16" s="395">
        <f>11000</f>
        <v>11000</v>
      </c>
      <c r="C16" s="50" t="s">
        <v>198</v>
      </c>
      <c r="D16" s="60"/>
      <c r="E16" t="s">
        <v>301</v>
      </c>
      <c r="F16" s="78" t="s">
        <v>302</v>
      </c>
    </row>
    <row r="17" spans="1:6" hidden="1" outlineLevel="1">
      <c r="A17" t="s">
        <v>1440</v>
      </c>
      <c r="B17" s="395">
        <v>12678</v>
      </c>
      <c r="C17" s="50"/>
      <c r="D17" s="60"/>
      <c r="F17" s="78" t="s">
        <v>1439</v>
      </c>
    </row>
    <row r="18" spans="1:6" hidden="1" outlineLevel="1">
      <c r="A18" t="s">
        <v>1441</v>
      </c>
      <c r="B18" s="332">
        <v>0.8</v>
      </c>
      <c r="C18" s="50"/>
      <c r="D18" s="60"/>
      <c r="F18" s="78"/>
    </row>
    <row r="19" spans="1:6" collapsed="1">
      <c r="B19" s="208"/>
      <c r="C19" s="50"/>
      <c r="D19" s="60"/>
    </row>
    <row r="20" spans="1:6" ht="18.75">
      <c r="A20" s="3" t="s">
        <v>303</v>
      </c>
      <c r="D20" s="60"/>
    </row>
    <row r="21" spans="1:6" ht="13.5" hidden="1" customHeight="1" outlineLevel="1">
      <c r="A21" s="240" t="s">
        <v>304</v>
      </c>
      <c r="B21" s="265">
        <v>277000000</v>
      </c>
      <c r="C21" s="50" t="s">
        <v>305</v>
      </c>
      <c r="D21" s="60" t="s">
        <v>280</v>
      </c>
    </row>
    <row r="22" spans="1:6" hidden="1" outlineLevel="1">
      <c r="A22" s="240" t="s">
        <v>306</v>
      </c>
      <c r="B22" s="265">
        <v>600000</v>
      </c>
      <c r="C22" s="50" t="s">
        <v>305</v>
      </c>
      <c r="D22" s="60" t="s">
        <v>280</v>
      </c>
    </row>
    <row r="23" spans="1:6" hidden="1" outlineLevel="1">
      <c r="A23" s="240" t="s">
        <v>307</v>
      </c>
      <c r="B23" s="265">
        <v>70000000</v>
      </c>
      <c r="C23" s="50" t="s">
        <v>305</v>
      </c>
      <c r="D23" s="60" t="s">
        <v>280</v>
      </c>
    </row>
    <row r="24" spans="1:6" hidden="1" outlineLevel="1">
      <c r="A24" s="240" t="s">
        <v>308</v>
      </c>
      <c r="B24" s="265">
        <v>197000000</v>
      </c>
      <c r="C24" s="50" t="s">
        <v>305</v>
      </c>
      <c r="D24" s="60" t="s">
        <v>280</v>
      </c>
    </row>
    <row r="25" spans="1:6" hidden="1" outlineLevel="1">
      <c r="A25" s="240" t="s">
        <v>309</v>
      </c>
      <c r="B25" s="265">
        <v>11000000</v>
      </c>
      <c r="C25" s="50" t="s">
        <v>305</v>
      </c>
      <c r="D25" s="60" t="s">
        <v>280</v>
      </c>
    </row>
    <row r="26" spans="1:6" hidden="1" outlineLevel="1">
      <c r="A26" s="240" t="s">
        <v>310</v>
      </c>
      <c r="B26" s="265">
        <v>18000000</v>
      </c>
      <c r="C26" s="50" t="s">
        <v>305</v>
      </c>
      <c r="D26" s="60" t="s">
        <v>280</v>
      </c>
    </row>
    <row r="27" spans="1:6" hidden="1" outlineLevel="1">
      <c r="A27" s="240" t="s">
        <v>311</v>
      </c>
      <c r="B27" s="265">
        <f>365*6</f>
        <v>2190</v>
      </c>
      <c r="C27" s="50" t="s">
        <v>312</v>
      </c>
      <c r="D27" s="60"/>
      <c r="E27" t="s">
        <v>1479</v>
      </c>
      <c r="F27" t="s">
        <v>313</v>
      </c>
    </row>
    <row r="28" spans="1:6" hidden="1" outlineLevel="1">
      <c r="A28" s="240" t="s">
        <v>314</v>
      </c>
      <c r="B28" s="265">
        <f>365*6</f>
        <v>2190</v>
      </c>
      <c r="C28" s="50" t="s">
        <v>312</v>
      </c>
      <c r="D28" s="60"/>
      <c r="E28" t="s">
        <v>1479</v>
      </c>
      <c r="F28" t="s">
        <v>313</v>
      </c>
    </row>
    <row r="29" spans="1:6" hidden="1" outlineLevel="1">
      <c r="A29" s="240" t="s">
        <v>315</v>
      </c>
      <c r="B29" s="265">
        <f>365*24</f>
        <v>8760</v>
      </c>
      <c r="C29" s="50" t="s">
        <v>312</v>
      </c>
      <c r="D29" s="60"/>
      <c r="E29" t="s">
        <v>1478</v>
      </c>
    </row>
    <row r="30" spans="1:6" hidden="1" outlineLevel="1">
      <c r="A30" s="240" t="s">
        <v>316</v>
      </c>
      <c r="B30" s="265">
        <v>0.25</v>
      </c>
      <c r="C30" s="50"/>
      <c r="D30" s="60"/>
      <c r="E30" t="s">
        <v>1475</v>
      </c>
    </row>
    <row r="31" spans="1:6" hidden="1" outlineLevel="1">
      <c r="A31" s="240" t="s">
        <v>317</v>
      </c>
      <c r="B31" s="265">
        <v>0.17499999999999999</v>
      </c>
      <c r="C31" s="50"/>
      <c r="D31" s="60"/>
      <c r="E31" t="s">
        <v>1477</v>
      </c>
      <c r="F31" t="s">
        <v>1476</v>
      </c>
    </row>
    <row r="32" spans="1:6" hidden="1" outlineLevel="1">
      <c r="A32" s="240" t="s">
        <v>318</v>
      </c>
      <c r="B32" s="265">
        <f>B24/B27/B30</f>
        <v>359817.3515981735</v>
      </c>
      <c r="C32" s="50" t="s">
        <v>1474</v>
      </c>
      <c r="D32" s="60"/>
    </row>
    <row r="33" spans="1:6" hidden="1" outlineLevel="1">
      <c r="A33" s="240" t="s">
        <v>319</v>
      </c>
      <c r="B33" s="265">
        <f>B25/B28/B30</f>
        <v>20091.324200913241</v>
      </c>
      <c r="C33" s="50" t="s">
        <v>1474</v>
      </c>
      <c r="D33" s="60"/>
    </row>
    <row r="34" spans="1:6" hidden="1" outlineLevel="1">
      <c r="A34" s="240" t="s">
        <v>320</v>
      </c>
      <c r="B34" s="265">
        <f>B26/B29/B31</f>
        <v>11741.682974559686</v>
      </c>
      <c r="C34" s="50" t="s">
        <v>1474</v>
      </c>
      <c r="D34" s="60"/>
    </row>
    <row r="35" spans="1:6" hidden="1" outlineLevel="1">
      <c r="A35" s="240" t="s">
        <v>321</v>
      </c>
      <c r="B35" s="265">
        <v>26000000</v>
      </c>
      <c r="C35" s="50" t="s">
        <v>305</v>
      </c>
      <c r="D35" s="60" t="s">
        <v>280</v>
      </c>
    </row>
    <row r="36" spans="1:6" ht="45" hidden="1" outlineLevel="1">
      <c r="A36" s="279" t="s">
        <v>322</v>
      </c>
      <c r="B36" s="280">
        <v>8.0000000000000002E-3</v>
      </c>
      <c r="C36" s="278" t="s">
        <v>323</v>
      </c>
      <c r="D36" s="44" t="s">
        <v>280</v>
      </c>
      <c r="E36" s="277" t="s">
        <v>324</v>
      </c>
      <c r="F36" s="71" t="s">
        <v>325</v>
      </c>
    </row>
    <row r="37" spans="1:6" hidden="1" outlineLevel="1">
      <c r="A37" s="279" t="s">
        <v>326</v>
      </c>
      <c r="B37" s="280">
        <v>1</v>
      </c>
      <c r="C37" s="278" t="s">
        <v>290</v>
      </c>
      <c r="D37" s="44" t="s">
        <v>280</v>
      </c>
      <c r="E37" s="277"/>
      <c r="F37" s="71"/>
    </row>
    <row r="38" spans="1:6" hidden="1" outlineLevel="1">
      <c r="A38" s="279" t="s">
        <v>327</v>
      </c>
      <c r="B38" s="280">
        <v>1</v>
      </c>
      <c r="C38" s="278" t="s">
        <v>290</v>
      </c>
      <c r="D38" s="44" t="s">
        <v>280</v>
      </c>
      <c r="E38" s="277"/>
      <c r="F38" s="71"/>
    </row>
    <row r="39" spans="1:6" hidden="1" outlineLevel="1">
      <c r="A39" s="279" t="s">
        <v>328</v>
      </c>
      <c r="B39" s="280">
        <f>Scenario!B9</f>
        <v>1</v>
      </c>
      <c r="C39" s="278" t="s">
        <v>290</v>
      </c>
      <c r="D39" s="44" t="s">
        <v>283</v>
      </c>
      <c r="E39" s="277"/>
      <c r="F39" s="71"/>
    </row>
    <row r="40" spans="1:6" hidden="1" outlineLevel="1">
      <c r="A40" s="396" t="s">
        <v>1481</v>
      </c>
      <c r="B40" s="397">
        <v>5</v>
      </c>
      <c r="C40" s="398" t="s">
        <v>1485</v>
      </c>
      <c r="D40" s="399"/>
      <c r="E40" s="277"/>
      <c r="F40" s="316" t="s">
        <v>1486</v>
      </c>
    </row>
    <row r="41" spans="1:6" hidden="1" outlineLevel="1">
      <c r="A41" s="396" t="s">
        <v>1482</v>
      </c>
      <c r="B41" s="397">
        <v>25</v>
      </c>
      <c r="C41" s="398" t="s">
        <v>1485</v>
      </c>
      <c r="D41" s="399"/>
      <c r="E41" s="277"/>
      <c r="F41" t="s">
        <v>1486</v>
      </c>
    </row>
    <row r="42" spans="1:6" hidden="1" outlineLevel="1">
      <c r="A42" s="396" t="s">
        <v>1483</v>
      </c>
      <c r="B42" s="397">
        <v>45</v>
      </c>
      <c r="C42" s="398" t="s">
        <v>1485</v>
      </c>
      <c r="D42" s="399"/>
      <c r="E42" s="277"/>
      <c r="F42" s="316" t="s">
        <v>1486</v>
      </c>
    </row>
    <row r="43" spans="1:6" hidden="1" outlineLevel="1">
      <c r="A43" s="396" t="s">
        <v>1484</v>
      </c>
      <c r="B43" s="397">
        <f>0.5*50+0.5*80</f>
        <v>65</v>
      </c>
      <c r="C43" s="398" t="s">
        <v>1485</v>
      </c>
      <c r="D43" s="399"/>
      <c r="E43" s="277"/>
      <c r="F43" t="s">
        <v>1486</v>
      </c>
    </row>
    <row r="44" spans="1:6" hidden="1" outlineLevel="1">
      <c r="A44" s="279" t="s">
        <v>1494</v>
      </c>
      <c r="B44" s="315">
        <f>Energy!B4-Energy!B5</f>
        <v>138349694</v>
      </c>
      <c r="C44" s="50" t="s">
        <v>305</v>
      </c>
      <c r="D44" s="44"/>
      <c r="E44" s="277"/>
      <c r="F44" s="71"/>
    </row>
    <row r="45" spans="1:6" ht="45" hidden="1" outlineLevel="1">
      <c r="A45" s="279" t="s">
        <v>1513</v>
      </c>
      <c r="B45" s="315">
        <v>62</v>
      </c>
      <c r="C45" s="278" t="s">
        <v>167</v>
      </c>
      <c r="D45" s="44"/>
      <c r="E45" s="277"/>
      <c r="F45" s="71" t="s">
        <v>1512</v>
      </c>
    </row>
    <row r="46" spans="1:6" hidden="1" outlineLevel="1">
      <c r="A46" s="279" t="s">
        <v>1521</v>
      </c>
      <c r="B46" s="315">
        <v>80</v>
      </c>
      <c r="C46" s="278" t="s">
        <v>167</v>
      </c>
      <c r="D46" s="44"/>
      <c r="E46" s="277"/>
      <c r="F46" s="71"/>
    </row>
    <row r="47" spans="1:6" ht="30" hidden="1" outlineLevel="1">
      <c r="A47" s="279" t="s">
        <v>1514</v>
      </c>
      <c r="B47" s="315">
        <f>(1122*0.17+237.1*0.51)*1000</f>
        <v>311661</v>
      </c>
      <c r="C47" s="278" t="s">
        <v>239</v>
      </c>
      <c r="D47" s="44"/>
      <c r="F47" s="90" t="s">
        <v>1516</v>
      </c>
    </row>
    <row r="48" spans="1:6" ht="30" hidden="1" outlineLevel="1">
      <c r="A48" s="279" t="s">
        <v>1515</v>
      </c>
      <c r="B48" s="315">
        <f>((1122+237.1+37.9+28.3)-B47/1000)*1000</f>
        <v>1113639</v>
      </c>
      <c r="C48" s="278" t="s">
        <v>239</v>
      </c>
      <c r="D48" s="44"/>
      <c r="F48" s="90" t="s">
        <v>1516</v>
      </c>
    </row>
    <row r="49" spans="1:6" hidden="1" outlineLevel="1">
      <c r="A49" s="279"/>
      <c r="B49" s="315"/>
      <c r="C49" s="278"/>
      <c r="D49" s="44"/>
      <c r="E49" s="277"/>
      <c r="F49" s="71"/>
    </row>
    <row r="50" spans="1:6" hidden="1" outlineLevel="1">
      <c r="A50" s="279"/>
      <c r="B50" s="280"/>
      <c r="C50" s="278"/>
      <c r="D50" s="44"/>
      <c r="E50" s="277"/>
      <c r="F50" s="71"/>
    </row>
    <row r="51" spans="1:6" collapsed="1">
      <c r="D51" s="60"/>
    </row>
    <row r="52" spans="1:6" ht="18.75">
      <c r="A52" s="62" t="s">
        <v>329</v>
      </c>
      <c r="D52" s="60"/>
    </row>
    <row r="53" spans="1:6" hidden="1" outlineLevel="1">
      <c r="A53" s="10" t="s">
        <v>330</v>
      </c>
      <c r="B53" s="265">
        <v>675477</v>
      </c>
      <c r="C53" s="50" t="s">
        <v>112</v>
      </c>
      <c r="D53" s="60" t="s">
        <v>280</v>
      </c>
    </row>
    <row r="54" spans="1:6" hidden="1" outlineLevel="1">
      <c r="A54" s="10" t="s">
        <v>331</v>
      </c>
      <c r="B54" s="265">
        <v>285120</v>
      </c>
      <c r="C54" s="50" t="s">
        <v>112</v>
      </c>
      <c r="D54" s="60" t="s">
        <v>280</v>
      </c>
    </row>
    <row r="55" spans="1:6" hidden="1" outlineLevel="1">
      <c r="A55" t="s">
        <v>332</v>
      </c>
      <c r="B55" s="265">
        <v>1079811</v>
      </c>
      <c r="C55" s="50" t="s">
        <v>333</v>
      </c>
      <c r="D55" s="60" t="s">
        <v>280</v>
      </c>
    </row>
    <row r="56" spans="1:6" hidden="1" outlineLevel="1">
      <c r="A56" s="10" t="s">
        <v>334</v>
      </c>
      <c r="B56" s="276">
        <v>0.28076918018124658</v>
      </c>
      <c r="C56" s="10"/>
      <c r="D56" s="44" t="s">
        <v>280</v>
      </c>
      <c r="E56" s="277"/>
      <c r="F56" s="282"/>
    </row>
    <row r="57" spans="1:6" ht="45" hidden="1" outlineLevel="1">
      <c r="A57" s="283" t="s">
        <v>335</v>
      </c>
      <c r="B57" s="400">
        <f>(((B53+B54)*1000)/'Financial Proxies'!C35)/'Financial Proxies'!C36</f>
        <v>421153.7702718699</v>
      </c>
      <c r="C57" s="50" t="s">
        <v>239</v>
      </c>
      <c r="D57" s="60"/>
      <c r="E57" s="71" t="s">
        <v>336</v>
      </c>
      <c r="F57" s="71" t="s">
        <v>337</v>
      </c>
    </row>
    <row r="58" spans="1:6" hidden="1" outlineLevel="1">
      <c r="A58" s="283"/>
      <c r="B58" s="400"/>
      <c r="C58" s="50"/>
      <c r="D58" s="60"/>
      <c r="E58" s="71"/>
      <c r="F58" s="71"/>
    </row>
    <row r="59" spans="1:6" hidden="1" outlineLevel="1">
      <c r="A59" s="283"/>
      <c r="B59" s="400"/>
      <c r="C59" s="50"/>
      <c r="D59" s="60"/>
      <c r="E59" s="71"/>
      <c r="F59" s="71"/>
    </row>
    <row r="60" spans="1:6" collapsed="1">
      <c r="D60" s="60"/>
    </row>
    <row r="61" spans="1:6" ht="18.75">
      <c r="A61" s="62" t="s">
        <v>338</v>
      </c>
      <c r="D61" s="60"/>
    </row>
    <row r="62" spans="1:6" hidden="1" outlineLevel="1">
      <c r="A62" t="s">
        <v>339</v>
      </c>
      <c r="B62">
        <v>3</v>
      </c>
      <c r="C62" s="50" t="s">
        <v>288</v>
      </c>
      <c r="D62" s="60" t="s">
        <v>280</v>
      </c>
    </row>
    <row r="63" spans="1:6" hidden="1" outlineLevel="1">
      <c r="A63" t="s">
        <v>340</v>
      </c>
      <c r="B63">
        <v>9</v>
      </c>
      <c r="C63" s="50" t="s">
        <v>203</v>
      </c>
      <c r="D63" s="60" t="s">
        <v>280</v>
      </c>
    </row>
    <row r="64" spans="1:6" ht="29.25" hidden="1" customHeight="1" outlineLevel="1">
      <c r="A64" t="s">
        <v>341</v>
      </c>
      <c r="B64" s="238">
        <f>Scenario!B8</f>
        <v>1</v>
      </c>
      <c r="C64" s="50"/>
      <c r="D64" s="60" t="s">
        <v>283</v>
      </c>
      <c r="E64" s="277" t="s">
        <v>342</v>
      </c>
    </row>
    <row r="65" spans="1:5" collapsed="1"/>
    <row r="67" spans="1:5" ht="18.75">
      <c r="A67" s="3" t="s">
        <v>343</v>
      </c>
    </row>
    <row r="68" spans="1:5" ht="135" hidden="1" outlineLevel="1">
      <c r="A68" s="283" t="s">
        <v>344</v>
      </c>
      <c r="B68" s="401">
        <f>Scenario!B7</f>
        <v>0.6</v>
      </c>
      <c r="C68" s="44" t="s">
        <v>290</v>
      </c>
      <c r="D68" s="44" t="s">
        <v>283</v>
      </c>
      <c r="E68" s="277" t="s">
        <v>345</v>
      </c>
    </row>
    <row r="69" spans="1:5" ht="45" hidden="1" outlineLevel="1">
      <c r="A69" s="283" t="s">
        <v>346</v>
      </c>
      <c r="B69" s="401">
        <v>1</v>
      </c>
      <c r="C69" s="44" t="s">
        <v>290</v>
      </c>
      <c r="D69" s="44" t="s">
        <v>280</v>
      </c>
      <c r="E69" s="277" t="s">
        <v>347</v>
      </c>
    </row>
    <row r="70" spans="1:5" hidden="1" outlineLevel="1">
      <c r="A70" s="283" t="s">
        <v>1541</v>
      </c>
      <c r="B70" s="332">
        <f>Scenario!B11</f>
        <v>1</v>
      </c>
      <c r="C70" s="44" t="s">
        <v>290</v>
      </c>
      <c r="D70" s="44" t="s">
        <v>283</v>
      </c>
      <c r="E70" s="277"/>
    </row>
    <row r="71" spans="1:5" collapsed="1"/>
    <row r="72" spans="1:5" ht="18.75">
      <c r="A72" s="3" t="s">
        <v>348</v>
      </c>
    </row>
    <row r="73" spans="1:5" ht="135" hidden="1" outlineLevel="1">
      <c r="A73" s="283" t="s">
        <v>349</v>
      </c>
      <c r="B73" s="401">
        <f>Scenario!B6</f>
        <v>0.6</v>
      </c>
      <c r="C73" s="44" t="s">
        <v>290</v>
      </c>
      <c r="D73" s="44" t="s">
        <v>283</v>
      </c>
      <c r="E73" s="277" t="s">
        <v>350</v>
      </c>
    </row>
    <row r="74" spans="1:5" ht="45" hidden="1" outlineLevel="1">
      <c r="A74" s="283" t="s">
        <v>351</v>
      </c>
      <c r="B74" s="402">
        <v>1</v>
      </c>
      <c r="D74" s="44" t="s">
        <v>280</v>
      </c>
      <c r="E74" s="277" t="s">
        <v>352</v>
      </c>
    </row>
    <row r="75" spans="1:5" hidden="1" outlineLevel="1">
      <c r="A75" s="283" t="s">
        <v>1540</v>
      </c>
      <c r="B75" s="331">
        <f>Scenario!B10</f>
        <v>1</v>
      </c>
      <c r="C75" s="44" t="s">
        <v>290</v>
      </c>
      <c r="D75" s="44" t="s">
        <v>283</v>
      </c>
    </row>
    <row r="76" spans="1:5" collapsed="1"/>
  </sheetData>
  <phoneticPr fontId="39" type="noConversion"/>
  <conditionalFormatting sqref="D4:D64">
    <cfRule type="containsText" dxfId="6" priority="4" operator="containsText" text="Yes">
      <formula>NOT(ISERROR(SEARCH("Yes",D4)))</formula>
    </cfRule>
  </conditionalFormatting>
  <conditionalFormatting sqref="D68:D70">
    <cfRule type="containsText" dxfId="5" priority="3" operator="containsText" text="Yes">
      <formula>NOT(ISERROR(SEARCH("Yes",D68)))</formula>
    </cfRule>
  </conditionalFormatting>
  <conditionalFormatting sqref="D73:D75">
    <cfRule type="containsText" dxfId="4" priority="1" operator="containsText" text="Yes">
      <formula>NOT(ISERROR(SEARCH("Yes",D73)))</formula>
    </cfRule>
  </conditionalFormatting>
  <dataValidations count="1">
    <dataValidation type="list" allowBlank="1" showInputMessage="1" showErrorMessage="1" sqref="D73:D75 D4:D64 D68:D70" xr:uid="{72EACF32-4CD2-4633-80CA-45D1E94BF639}">
      <formula1>"Yes, No"</formula1>
    </dataValidation>
  </dataValidations>
  <hyperlinks>
    <hyperlink ref="F16" r:id="rId1" xr:uid="{DDF86E41-4B53-6746-817E-E27F7B02339D}"/>
    <hyperlink ref="F40" r:id="rId2" location=":~:text=The%20carbon%20tax%20is%20applied,equivalent%20(tCO2e).&amp;text=The%20carbon%20tax%20revenue%20collected,impact%20on%20businesses%20and%20households." xr:uid="{1784ACD9-FEBE-444F-A6CA-D3750551B0CE}"/>
    <hyperlink ref="F42" r:id="rId3" location=":~:text=The%20carbon%20tax%20is%20applied,equivalent%20(tCO2e).&amp;text=The%20carbon%20tax%20revenue%20collected,impact%20on%20businesses%20and%20households." xr:uid="{38D317EB-7435-C041-94A5-30060AC23C87}"/>
  </hyperlinks>
  <pageMargins left="0.7" right="0.7" top="0.75" bottom="0.75" header="0.3" footer="0.3"/>
  <pageSetup orientation="portrait"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DFEF2-4B01-4A74-BF32-6D20B9ACA41B}">
  <dimension ref="A1:AK91"/>
  <sheetViews>
    <sheetView showGridLines="0" topLeftCell="C1" zoomScale="90" zoomScaleNormal="90" workbookViewId="0">
      <pane xSplit="2" ySplit="8" topLeftCell="E9" activePane="bottomRight" state="frozen"/>
      <selection activeCell="C1" sqref="C1"/>
      <selection pane="topRight" activeCell="E1" sqref="E1"/>
      <selection pane="bottomLeft" activeCell="C9" sqref="C9"/>
      <selection pane="bottomRight" activeCell="E23" sqref="E23"/>
    </sheetView>
  </sheetViews>
  <sheetFormatPr defaultColWidth="8.85546875" defaultRowHeight="15" outlineLevelRow="1"/>
  <cols>
    <col min="1" max="2" width="0" hidden="1" customWidth="1"/>
    <col min="3" max="3" width="8.85546875" style="289"/>
    <col min="4" max="4" width="70.42578125" bestFit="1" customWidth="1"/>
    <col min="5" max="5" width="20.42578125" customWidth="1"/>
    <col min="6" max="6" width="22.42578125" customWidth="1"/>
    <col min="7" max="7" width="19.42578125" customWidth="1"/>
    <col min="8" max="8" width="17.28515625" customWidth="1"/>
    <col min="9" max="10" width="15.7109375" bestFit="1" customWidth="1"/>
    <col min="11" max="36" width="16.28515625" customWidth="1"/>
    <col min="37" max="37" width="18.42578125" bestFit="1" customWidth="1"/>
  </cols>
  <sheetData>
    <row r="1" spans="1:37">
      <c r="D1" t="s">
        <v>437</v>
      </c>
      <c r="E1" s="238">
        <f>'Project Input'!B9</f>
        <v>7.0000000000000007E-2</v>
      </c>
      <c r="F1" t="s">
        <v>1587</v>
      </c>
    </row>
    <row r="2" spans="1:37">
      <c r="D2" t="s">
        <v>438</v>
      </c>
      <c r="E2" s="239">
        <f>'Financial Proxies'!C4</f>
        <v>2.4690505853454541E-2</v>
      </c>
    </row>
    <row r="3" spans="1:37">
      <c r="D3" t="s">
        <v>322</v>
      </c>
      <c r="E3" s="241">
        <f>'Project Input'!B36</f>
        <v>8.0000000000000002E-3</v>
      </c>
    </row>
    <row r="4" spans="1:37">
      <c r="D4" s="11" t="s">
        <v>439</v>
      </c>
      <c r="E4" s="251"/>
      <c r="F4" s="11" t="s">
        <v>1588</v>
      </c>
    </row>
    <row r="6" spans="1:37" ht="23.25">
      <c r="D6" s="219" t="s">
        <v>440</v>
      </c>
      <c r="E6" s="219"/>
      <c r="F6" s="220"/>
      <c r="G6" s="220"/>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0"/>
      <c r="AH6" s="220"/>
      <c r="AI6" s="220"/>
      <c r="AJ6" s="220"/>
      <c r="AK6" s="220"/>
    </row>
    <row r="7" spans="1:37">
      <c r="D7" s="218" t="s">
        <v>441</v>
      </c>
      <c r="E7" s="218"/>
      <c r="F7" s="217">
        <v>0</v>
      </c>
      <c r="G7" s="217">
        <v>1</v>
      </c>
      <c r="H7" s="217">
        <v>2</v>
      </c>
      <c r="I7" s="217">
        <v>3</v>
      </c>
      <c r="J7" s="217">
        <v>4</v>
      </c>
      <c r="K7" s="217">
        <v>5</v>
      </c>
      <c r="L7" s="217">
        <v>6</v>
      </c>
      <c r="M7" s="217">
        <v>7</v>
      </c>
      <c r="N7" s="217">
        <v>8</v>
      </c>
      <c r="O7" s="217">
        <v>9</v>
      </c>
      <c r="P7" s="217">
        <v>10</v>
      </c>
      <c r="Q7" s="217">
        <v>11</v>
      </c>
      <c r="R7" s="217">
        <v>12</v>
      </c>
      <c r="S7" s="217">
        <v>13</v>
      </c>
      <c r="T7" s="217">
        <v>14</v>
      </c>
      <c r="U7" s="217">
        <v>15</v>
      </c>
      <c r="V7" s="217">
        <v>16</v>
      </c>
      <c r="W7" s="217">
        <v>17</v>
      </c>
      <c r="X7" s="217">
        <v>18</v>
      </c>
      <c r="Y7" s="217">
        <v>19</v>
      </c>
      <c r="Z7" s="217">
        <v>20</v>
      </c>
      <c r="AA7" s="217">
        <v>21</v>
      </c>
      <c r="AB7" s="217">
        <v>22</v>
      </c>
      <c r="AC7" s="217">
        <v>23</v>
      </c>
      <c r="AD7" s="217">
        <v>24</v>
      </c>
      <c r="AE7" s="217">
        <v>25</v>
      </c>
      <c r="AF7" s="217">
        <v>26</v>
      </c>
      <c r="AG7" s="217">
        <v>27</v>
      </c>
      <c r="AH7" s="217">
        <v>28</v>
      </c>
      <c r="AI7" s="217">
        <v>29</v>
      </c>
      <c r="AJ7" s="217">
        <v>30</v>
      </c>
    </row>
    <row r="8" spans="1:37" ht="18.75">
      <c r="D8" s="216" t="s">
        <v>442</v>
      </c>
      <c r="E8" s="233" t="s">
        <v>443</v>
      </c>
      <c r="F8" s="216">
        <v>0</v>
      </c>
      <c r="G8" s="216">
        <v>1</v>
      </c>
      <c r="H8" s="216">
        <v>2</v>
      </c>
      <c r="I8" s="216">
        <v>3</v>
      </c>
      <c r="J8" s="216">
        <v>4</v>
      </c>
      <c r="K8" s="216">
        <v>5</v>
      </c>
      <c r="L8" s="216">
        <v>6</v>
      </c>
      <c r="M8" s="216">
        <v>7</v>
      </c>
      <c r="N8" s="216">
        <v>8</v>
      </c>
      <c r="O8" s="216">
        <v>9</v>
      </c>
      <c r="P8" s="216">
        <v>10</v>
      </c>
      <c r="Q8" s="216">
        <v>11</v>
      </c>
      <c r="R8" s="216">
        <v>12</v>
      </c>
      <c r="S8" s="216">
        <v>13</v>
      </c>
      <c r="T8" s="216">
        <v>14</v>
      </c>
      <c r="U8" s="216">
        <v>15</v>
      </c>
      <c r="V8" s="216">
        <v>16</v>
      </c>
      <c r="W8" s="216">
        <v>17</v>
      </c>
      <c r="X8" s="216">
        <v>18</v>
      </c>
      <c r="Y8" s="216">
        <v>19</v>
      </c>
      <c r="Z8" s="216">
        <v>20</v>
      </c>
      <c r="AA8" s="216">
        <v>21</v>
      </c>
      <c r="AB8" s="216">
        <v>22</v>
      </c>
      <c r="AC8" s="216">
        <v>23</v>
      </c>
      <c r="AD8" s="216">
        <v>24</v>
      </c>
      <c r="AE8" s="216">
        <v>25</v>
      </c>
      <c r="AF8" s="216">
        <v>26</v>
      </c>
      <c r="AG8" s="216">
        <v>27</v>
      </c>
      <c r="AH8" s="216">
        <v>28</v>
      </c>
      <c r="AI8" s="216">
        <v>29</v>
      </c>
      <c r="AJ8" s="216">
        <v>30</v>
      </c>
      <c r="AK8" s="305" t="s">
        <v>1442</v>
      </c>
    </row>
    <row r="10" spans="1:37" ht="18.75">
      <c r="A10" s="339" t="s">
        <v>399</v>
      </c>
      <c r="B10" s="339"/>
      <c r="C10" s="339"/>
      <c r="D10" s="221" t="s">
        <v>399</v>
      </c>
      <c r="E10" s="221"/>
      <c r="F10" s="242"/>
      <c r="G10" s="242"/>
      <c r="H10" s="242"/>
      <c r="I10" s="242"/>
      <c r="J10" s="242"/>
      <c r="K10" s="242"/>
      <c r="L10" s="242"/>
      <c r="M10" s="242"/>
      <c r="N10" s="242"/>
      <c r="O10" s="242"/>
      <c r="P10" s="242"/>
      <c r="Q10" s="242"/>
      <c r="R10" s="242"/>
      <c r="S10" s="242"/>
      <c r="T10" s="242"/>
      <c r="U10" s="242"/>
      <c r="V10" s="242"/>
      <c r="W10" s="242"/>
      <c r="X10" s="242"/>
      <c r="Y10" s="242"/>
      <c r="Z10" s="242"/>
      <c r="AA10" s="242"/>
      <c r="AB10" s="242"/>
      <c r="AC10" s="242"/>
      <c r="AD10" s="242"/>
      <c r="AE10" s="242"/>
      <c r="AF10" s="242"/>
      <c r="AG10" s="242"/>
      <c r="AH10" s="242"/>
      <c r="AI10" s="242"/>
      <c r="AJ10" s="242"/>
      <c r="AK10" s="242"/>
    </row>
    <row r="11" spans="1:37" hidden="1" outlineLevel="1">
      <c r="A11" s="339" t="s">
        <v>399</v>
      </c>
      <c r="B11" s="339"/>
      <c r="C11" s="339"/>
      <c r="D11" s="207"/>
      <c r="E11" s="207"/>
      <c r="F11" s="242"/>
      <c r="G11" s="242"/>
      <c r="H11" s="242"/>
      <c r="I11" s="242"/>
      <c r="J11" s="242"/>
      <c r="K11" s="242"/>
      <c r="L11" s="242"/>
      <c r="M11" s="242"/>
      <c r="N11" s="242"/>
      <c r="O11" s="242"/>
      <c r="P11" s="242"/>
      <c r="Q11" s="242"/>
      <c r="R11" s="242"/>
      <c r="S11" s="242"/>
      <c r="T11" s="242"/>
      <c r="U11" s="242"/>
      <c r="V11" s="242"/>
      <c r="W11" s="242"/>
      <c r="X11" s="242"/>
      <c r="Y11" s="242"/>
      <c r="Z11" s="242"/>
      <c r="AA11" s="242"/>
      <c r="AB11" s="242"/>
      <c r="AC11" s="242"/>
      <c r="AD11" s="242"/>
      <c r="AE11" s="242"/>
      <c r="AF11" s="242"/>
      <c r="AG11" s="242"/>
      <c r="AH11" s="242"/>
      <c r="AI11" s="242"/>
      <c r="AJ11" s="242"/>
      <c r="AK11" s="242"/>
    </row>
    <row r="12" spans="1:37" ht="14.25" hidden="1" customHeight="1" outlineLevel="1">
      <c r="A12" s="339" t="s">
        <v>399</v>
      </c>
      <c r="B12" s="339"/>
      <c r="C12" s="339"/>
      <c r="D12" s="222" t="s">
        <v>444</v>
      </c>
      <c r="E12" s="222"/>
      <c r="F12" s="242"/>
      <c r="G12" s="242"/>
      <c r="H12" s="242"/>
      <c r="I12" s="242"/>
      <c r="J12" s="242"/>
      <c r="K12" s="242"/>
      <c r="L12" s="242"/>
      <c r="M12" s="242"/>
      <c r="N12" s="242"/>
      <c r="O12" s="242"/>
      <c r="P12" s="242"/>
      <c r="Q12" s="242"/>
      <c r="R12" s="242"/>
      <c r="S12" s="242"/>
      <c r="T12" s="242"/>
      <c r="U12" s="242"/>
      <c r="V12" s="242"/>
      <c r="W12" s="242"/>
      <c r="X12" s="242"/>
      <c r="Y12" s="242"/>
      <c r="Z12" s="242"/>
      <c r="AA12" s="242"/>
      <c r="AB12" s="242"/>
      <c r="AC12" s="242"/>
      <c r="AD12" s="242"/>
      <c r="AE12" s="242"/>
      <c r="AF12" s="242"/>
      <c r="AG12" s="242"/>
      <c r="AH12" s="242"/>
      <c r="AI12" s="242"/>
      <c r="AJ12" s="242"/>
      <c r="AK12" s="242"/>
    </row>
    <row r="13" spans="1:37" s="218" customFormat="1" hidden="1" outlineLevel="1">
      <c r="A13" s="339" t="s">
        <v>399</v>
      </c>
      <c r="B13" s="339" t="s">
        <v>400</v>
      </c>
      <c r="C13" s="339" t="s">
        <v>444</v>
      </c>
      <c r="D13" s="207" t="s">
        <v>398</v>
      </c>
      <c r="E13" s="242">
        <f t="shared" ref="E13:E53" si="0">IF(F13+NPV($E$1,G13:AK13)=0,"",F13+NPV($E$1,G13:AK13))</f>
        <v>336406786.26536447</v>
      </c>
      <c r="F13" s="242">
        <v>0</v>
      </c>
      <c r="G13" s="242">
        <v>0</v>
      </c>
      <c r="H13" s="242">
        <v>0</v>
      </c>
      <c r="I13" s="250">
        <f>'Benefits, Costs, Inv'!P20</f>
        <v>17673885.333668467</v>
      </c>
      <c r="J13" s="242">
        <f t="shared" ref="J13:AJ13" si="1">I13*(1+$E$2)</f>
        <v>18110262.502952691</v>
      </c>
      <c r="K13" s="242">
        <f t="shared" si="1"/>
        <v>18557414.045289442</v>
      </c>
      <c r="L13" s="242">
        <f>K13*(1+$E$2)</f>
        <v>19015605.985399641</v>
      </c>
      <c r="M13" s="242">
        <f t="shared" si="1"/>
        <v>19485110.916289136</v>
      </c>
      <c r="N13" s="242">
        <f t="shared" si="1"/>
        <v>19966208.161422983</v>
      </c>
      <c r="O13" s="242">
        <f t="shared" si="1"/>
        <v>20459183.940903891</v>
      </c>
      <c r="P13" s="242">
        <f t="shared" si="1"/>
        <v>20964331.541753683</v>
      </c>
      <c r="Q13" s="242">
        <f t="shared" si="1"/>
        <v>21481951.492399115</v>
      </c>
      <c r="R13" s="242">
        <f t="shared" si="1"/>
        <v>22012351.741465822</v>
      </c>
      <c r="S13" s="242">
        <f t="shared" si="1"/>
        <v>22555847.840986785</v>
      </c>
      <c r="T13" s="242">
        <f t="shared" si="1"/>
        <v>23112763.1341343</v>
      </c>
      <c r="U13" s="242">
        <f t="shared" si="1"/>
        <v>23683428.947587151</v>
      </c>
      <c r="V13" s="242">
        <f t="shared" si="1"/>
        <v>24268184.788647428</v>
      </c>
      <c r="W13" s="242">
        <f t="shared" si="1"/>
        <v>24867378.547224246</v>
      </c>
      <c r="X13" s="242">
        <f t="shared" si="1"/>
        <v>25481366.702804558</v>
      </c>
      <c r="Y13" s="242">
        <f t="shared" si="1"/>
        <v>26110514.536534175</v>
      </c>
      <c r="Z13" s="242">
        <f t="shared" si="1"/>
        <v>26755196.348535184</v>
      </c>
      <c r="AA13" s="242">
        <f t="shared" si="1"/>
        <v>27415795.680589017</v>
      </c>
      <c r="AB13" s="242">
        <f t="shared" si="1"/>
        <v>28092705.544317715</v>
      </c>
      <c r="AC13" s="242">
        <f t="shared" si="1"/>
        <v>28786328.654999066</v>
      </c>
      <c r="AD13" s="242">
        <f t="shared" si="1"/>
        <v>29497077.671154786</v>
      </c>
      <c r="AE13" s="242">
        <f t="shared" si="1"/>
        <v>30225375.440054238</v>
      </c>
      <c r="AF13" s="242">
        <f t="shared" si="1"/>
        <v>30971655.24927976</v>
      </c>
      <c r="AG13" s="242">
        <f t="shared" si="1"/>
        <v>31736361.084503278</v>
      </c>
      <c r="AH13" s="242">
        <f t="shared" si="1"/>
        <v>32519947.893627554</v>
      </c>
      <c r="AI13" s="242">
        <f t="shared" si="1"/>
        <v>33322881.857449204</v>
      </c>
      <c r="AJ13" s="242">
        <f t="shared" si="1"/>
        <v>34145640.667004526</v>
      </c>
      <c r="AK13" s="242">
        <f>(AJ13*(1+$E$2)^2)/($E$1-$E$2)</f>
        <v>791282346.58457541</v>
      </c>
    </row>
    <row r="14" spans="1:37" hidden="1" outlineLevel="1">
      <c r="A14" s="339" t="s">
        <v>399</v>
      </c>
      <c r="B14" s="339" t="s">
        <v>400</v>
      </c>
      <c r="C14" s="339" t="s">
        <v>444</v>
      </c>
      <c r="D14" s="207" t="s">
        <v>402</v>
      </c>
      <c r="E14" s="242">
        <f t="shared" si="0"/>
        <v>89381139.49499701</v>
      </c>
      <c r="F14" s="242">
        <v>0</v>
      </c>
      <c r="G14" s="242">
        <v>0</v>
      </c>
      <c r="H14" s="242">
        <v>0</v>
      </c>
      <c r="I14" s="250">
        <f>'Benefits, Costs, Inv'!P21</f>
        <v>4695838.7134946035</v>
      </c>
      <c r="J14" s="242">
        <f t="shared" ref="J14:AJ14" si="2">I14*(1+$E$2)</f>
        <v>4811781.3467370206</v>
      </c>
      <c r="K14" s="242">
        <f t="shared" si="2"/>
        <v>4930586.6622441746</v>
      </c>
      <c r="L14" s="242">
        <f t="shared" si="2"/>
        <v>5052325.3410892794</v>
      </c>
      <c r="M14" s="242">
        <f t="shared" si="2"/>
        <v>5177069.8094970006</v>
      </c>
      <c r="N14" s="242">
        <f t="shared" si="2"/>
        <v>5304894.2819321295</v>
      </c>
      <c r="O14" s="242">
        <f t="shared" si="2"/>
        <v>5435874.805252132</v>
      </c>
      <c r="P14" s="242">
        <f t="shared" si="2"/>
        <v>5570089.3039498562</v>
      </c>
      <c r="Q14" s="242">
        <f t="shared" si="2"/>
        <v>5707617.6265132949</v>
      </c>
      <c r="R14" s="242">
        <f t="shared" si="2"/>
        <v>5848541.5929300021</v>
      </c>
      <c r="S14" s="242">
        <f t="shared" si="2"/>
        <v>5992945.0433644131</v>
      </c>
      <c r="T14" s="242">
        <f t="shared" si="2"/>
        <v>6140913.8880370334</v>
      </c>
      <c r="U14" s="242">
        <f t="shared" si="2"/>
        <v>6292536.1583351726</v>
      </c>
      <c r="V14" s="242">
        <f t="shared" si="2"/>
        <v>6447902.0591856213</v>
      </c>
      <c r="W14" s="242">
        <f t="shared" si="2"/>
        <v>6607104.0227204459</v>
      </c>
      <c r="X14" s="242">
        <f t="shared" si="2"/>
        <v>6770236.7632678086</v>
      </c>
      <c r="Y14" s="242">
        <f t="shared" si="2"/>
        <v>6937397.3337005461</v>
      </c>
      <c r="Z14" s="242">
        <f t="shared" si="2"/>
        <v>7108685.1831760192</v>
      </c>
      <c r="AA14" s="242">
        <f t="shared" si="2"/>
        <v>7284202.2163015921</v>
      </c>
      <c r="AB14" s="242">
        <f t="shared" si="2"/>
        <v>7464052.8537609335</v>
      </c>
      <c r="AC14" s="242">
        <f t="shared" si="2"/>
        <v>7648344.0944372118</v>
      </c>
      <c r="AD14" s="242">
        <f t="shared" si="2"/>
        <v>7837185.5790701481</v>
      </c>
      <c r="AE14" s="242">
        <f t="shared" si="2"/>
        <v>8030689.6554847891</v>
      </c>
      <c r="AF14" s="242">
        <f t="shared" si="2"/>
        <v>8228971.4454308134</v>
      </c>
      <c r="AG14" s="242">
        <f t="shared" si="2"/>
        <v>8432148.9130721334</v>
      </c>
      <c r="AH14" s="242">
        <f t="shared" si="2"/>
        <v>8640342.9351675417</v>
      </c>
      <c r="AI14" s="242">
        <f t="shared" si="2"/>
        <v>8853677.3729841504</v>
      </c>
      <c r="AJ14" s="242">
        <f t="shared" si="2"/>
        <v>9072279.1459864136</v>
      </c>
      <c r="AK14" s="242">
        <f>(AJ14*(1+$E$2)^2)/($E$1-$E$2)</f>
        <v>210238677.36192051</v>
      </c>
    </row>
    <row r="15" spans="1:37" hidden="1" outlineLevel="1">
      <c r="A15" s="339" t="s">
        <v>399</v>
      </c>
      <c r="B15" s="339" t="s">
        <v>400</v>
      </c>
      <c r="C15" s="339" t="s">
        <v>444</v>
      </c>
      <c r="D15" s="207" t="s">
        <v>404</v>
      </c>
      <c r="E15" s="242">
        <f t="shared" si="0"/>
        <v>11605925.138700631</v>
      </c>
      <c r="F15" s="242">
        <v>0</v>
      </c>
      <c r="G15" s="242">
        <v>0</v>
      </c>
      <c r="H15" s="242">
        <v>0</v>
      </c>
      <c r="I15" s="250">
        <f>'Benefits, Costs, Inv'!P22</f>
        <v>609743.31811110093</v>
      </c>
      <c r="J15" s="242">
        <f t="shared" ref="J15:AJ15" si="3">I15*(1+$E$2)</f>
        <v>624798.18907602783</v>
      </c>
      <c r="K15" s="242">
        <f t="shared" si="3"/>
        <v>640224.77242063731</v>
      </c>
      <c r="L15" s="242">
        <f t="shared" si="3"/>
        <v>656032.24591161567</v>
      </c>
      <c r="M15" s="242">
        <f t="shared" si="3"/>
        <v>672230.01391935139</v>
      </c>
      <c r="N15" s="242">
        <f t="shared" si="3"/>
        <v>688827.71301289496</v>
      </c>
      <c r="O15" s="242">
        <f t="shared" si="3"/>
        <v>705835.21769306157</v>
      </c>
      <c r="P15" s="242">
        <f t="shared" si="3"/>
        <v>723262.6462670865</v>
      </c>
      <c r="Q15" s="242">
        <f t="shared" si="3"/>
        <v>741120.366868329</v>
      </c>
      <c r="R15" s="242">
        <f t="shared" si="3"/>
        <v>759419.00362460583</v>
      </c>
      <c r="S15" s="242">
        <f t="shared" si="3"/>
        <v>778169.44297882379</v>
      </c>
      <c r="T15" s="242">
        <f t="shared" si="3"/>
        <v>797382.84016567189</v>
      </c>
      <c r="U15" s="242">
        <f t="shared" si="3"/>
        <v>817070.6258482266</v>
      </c>
      <c r="V15" s="242">
        <f t="shared" si="3"/>
        <v>837244.51291841804</v>
      </c>
      <c r="W15" s="242">
        <f t="shared" si="3"/>
        <v>857916.50346540299</v>
      </c>
      <c r="X15" s="242">
        <f t="shared" si="3"/>
        <v>879098.89591599081</v>
      </c>
      <c r="Y15" s="242">
        <f t="shared" si="3"/>
        <v>900804.29235136998</v>
      </c>
      <c r="Z15" s="242">
        <f t="shared" si="3"/>
        <v>923045.60600448842</v>
      </c>
      <c r="AA15" s="242">
        <f t="shared" si="3"/>
        <v>945836.06894254778</v>
      </c>
      <c r="AB15" s="242">
        <f t="shared" si="3"/>
        <v>969189.23993918218</v>
      </c>
      <c r="AC15" s="242">
        <f t="shared" si="3"/>
        <v>993119.01254100574</v>
      </c>
      <c r="AD15" s="242">
        <f t="shared" si="3"/>
        <v>1017639.6233333264</v>
      </c>
      <c r="AE15" s="242">
        <f t="shared" si="3"/>
        <v>1042765.6604099452</v>
      </c>
      <c r="AF15" s="242">
        <f t="shared" si="3"/>
        <v>1068512.0720520783</v>
      </c>
      <c r="AG15" s="242">
        <f t="shared" si="3"/>
        <v>1094894.1756215671</v>
      </c>
      <c r="AH15" s="242">
        <f t="shared" si="3"/>
        <v>1121927.6666736647</v>
      </c>
      <c r="AI15" s="242">
        <f t="shared" si="3"/>
        <v>1149628.6282948235</v>
      </c>
      <c r="AJ15" s="242">
        <f t="shared" si="3"/>
        <v>1178013.5406710356</v>
      </c>
      <c r="AK15" s="242">
        <f>(AJ15*(1+$E$2)^2)/($E$1-$E$2)</f>
        <v>27298984.60131469</v>
      </c>
    </row>
    <row r="16" spans="1:37" hidden="1" outlineLevel="1">
      <c r="A16" s="339" t="s">
        <v>399</v>
      </c>
      <c r="B16" s="339" t="s">
        <v>1564</v>
      </c>
      <c r="C16" s="339" t="s">
        <v>444</v>
      </c>
      <c r="D16" s="207" t="s">
        <v>406</v>
      </c>
      <c r="E16" s="242">
        <f t="shared" si="0"/>
        <v>27848669.352396924</v>
      </c>
      <c r="F16" s="242">
        <v>0</v>
      </c>
      <c r="G16" s="242">
        <v>0</v>
      </c>
      <c r="H16" s="242">
        <v>0</v>
      </c>
      <c r="I16" s="250">
        <f>'Benefits, Costs, Inv'!P23</f>
        <v>1463092.3302517983</v>
      </c>
      <c r="J16" s="242">
        <f t="shared" ref="J16:AJ16" si="4">I16*(1+$E$2)</f>
        <v>1499216.8199960247</v>
      </c>
      <c r="K16" s="242">
        <f t="shared" si="4"/>
        <v>1536233.241665734</v>
      </c>
      <c r="L16" s="242">
        <f t="shared" si="4"/>
        <v>1574163.6175113532</v>
      </c>
      <c r="M16" s="242">
        <f t="shared" si="4"/>
        <v>1613030.5135238124</v>
      </c>
      <c r="N16" s="242">
        <f t="shared" si="4"/>
        <v>1652857.0528597729</v>
      </c>
      <c r="O16" s="242">
        <f t="shared" si="4"/>
        <v>1693666.9295983308</v>
      </c>
      <c r="P16" s="242">
        <f t="shared" si="4"/>
        <v>1735484.4228373808</v>
      </c>
      <c r="Q16" s="242">
        <f t="shared" si="4"/>
        <v>1778334.4111380263</v>
      </c>
      <c r="R16" s="242">
        <f t="shared" si="4"/>
        <v>1822242.3873256294</v>
      </c>
      <c r="S16" s="242">
        <f t="shared" si="4"/>
        <v>1867234.4736563058</v>
      </c>
      <c r="T16" s="242">
        <f t="shared" si="4"/>
        <v>1913337.437357889</v>
      </c>
      <c r="U16" s="242">
        <f t="shared" si="4"/>
        <v>1960578.7065546077</v>
      </c>
      <c r="V16" s="242">
        <f t="shared" si="4"/>
        <v>2008986.3865849527</v>
      </c>
      <c r="W16" s="242">
        <f t="shared" si="4"/>
        <v>2058589.2767224391</v>
      </c>
      <c r="X16" s="242">
        <f t="shared" si="4"/>
        <v>2109416.8873092132</v>
      </c>
      <c r="Y16" s="242">
        <f t="shared" si="4"/>
        <v>2161499.4573126971</v>
      </c>
      <c r="Z16" s="242">
        <f t="shared" si="4"/>
        <v>2214867.9723157152</v>
      </c>
      <c r="AA16" s="242">
        <f t="shared" si="4"/>
        <v>2269554.1829508054</v>
      </c>
      <c r="AB16" s="242">
        <f t="shared" si="4"/>
        <v>2325590.6237896844</v>
      </c>
      <c r="AC16" s="242">
        <f t="shared" si="4"/>
        <v>2383010.6326991026</v>
      </c>
      <c r="AD16" s="242">
        <f t="shared" si="4"/>
        <v>2441848.3706746041</v>
      </c>
      <c r="AE16" s="242">
        <f t="shared" si="4"/>
        <v>2502138.842163994</v>
      </c>
      <c r="AF16" s="242">
        <f t="shared" si="4"/>
        <v>2563917.9158926001</v>
      </c>
      <c r="AG16" s="242">
        <f t="shared" si="4"/>
        <v>2627222.3462027232</v>
      </c>
      <c r="AH16" s="242">
        <f t="shared" si="4"/>
        <v>2692089.7949199681</v>
      </c>
      <c r="AI16" s="242">
        <f t="shared" si="4"/>
        <v>2758558.8537594648</v>
      </c>
      <c r="AJ16" s="242">
        <f t="shared" si="4"/>
        <v>2826669.0672853119</v>
      </c>
      <c r="AK16" s="242">
        <f>(AJ16*(1+$E$2)^2)/($E$1-$E$2)</f>
        <v>65504506.252855487</v>
      </c>
    </row>
    <row r="17" spans="1:37" hidden="1" outlineLevel="1">
      <c r="A17" s="339" t="s">
        <v>399</v>
      </c>
      <c r="B17" s="339" t="s">
        <v>1564</v>
      </c>
      <c r="C17" s="339" t="s">
        <v>444</v>
      </c>
      <c r="D17" s="207" t="s">
        <v>410</v>
      </c>
      <c r="E17" s="242">
        <f t="shared" si="0"/>
        <v>1321045.9347803402</v>
      </c>
      <c r="F17" s="242">
        <v>0</v>
      </c>
      <c r="G17" s="242">
        <v>0</v>
      </c>
      <c r="H17" s="242">
        <v>0</v>
      </c>
      <c r="I17" s="250">
        <f>'Benefits, Costs, Inv'!P25</f>
        <v>69404.11229813665</v>
      </c>
      <c r="J17" s="242">
        <f t="shared" ref="J17:AJ17" si="5">I17*(1+$E$2)</f>
        <v>71117.734939087604</v>
      </c>
      <c r="K17" s="242">
        <f t="shared" si="5"/>
        <v>72873.667789885571</v>
      </c>
      <c r="L17" s="242">
        <f t="shared" si="5"/>
        <v>74672.955511014443</v>
      </c>
      <c r="M17" s="242">
        <f t="shared" si="5"/>
        <v>76516.668556153891</v>
      </c>
      <c r="N17" s="242">
        <f t="shared" si="5"/>
        <v>78405.903809026451</v>
      </c>
      <c r="O17" s="242">
        <f t="shared" si="5"/>
        <v>80341.785235968608</v>
      </c>
      <c r="P17" s="242">
        <f t="shared" si="5"/>
        <v>82325.464554614286</v>
      </c>
      <c r="Q17" s="242">
        <f t="shared" si="5"/>
        <v>84358.121919088357</v>
      </c>
      <c r="R17" s="242">
        <f t="shared" si="5"/>
        <v>86440.966622118038</v>
      </c>
      <c r="S17" s="242">
        <f t="shared" si="5"/>
        <v>88575.237814479711</v>
      </c>
      <c r="T17" s="242">
        <f t="shared" si="5"/>
        <v>90762.205242209253</v>
      </c>
      <c r="U17" s="242">
        <f t="shared" si="5"/>
        <v>93003.170002014464</v>
      </c>
      <c r="V17" s="242">
        <f t="shared" si="5"/>
        <v>95299.465315339025</v>
      </c>
      <c r="W17" s="242">
        <f t="shared" si="5"/>
        <v>97652.457321538488</v>
      </c>
      <c r="X17" s="242">
        <f t="shared" si="5"/>
        <v>100063.54589064016</v>
      </c>
      <c r="Y17" s="242">
        <f t="shared" si="5"/>
        <v>102534.16545617043</v>
      </c>
      <c r="Z17" s="242">
        <f t="shared" si="5"/>
        <v>105065.78586854509</v>
      </c>
      <c r="AA17" s="242">
        <f t="shared" si="5"/>
        <v>107659.91326953021</v>
      </c>
      <c r="AB17" s="242">
        <f t="shared" si="5"/>
        <v>110318.09098829396</v>
      </c>
      <c r="AC17" s="242">
        <f t="shared" si="5"/>
        <v>113041.90045958236</v>
      </c>
      <c r="AD17" s="242">
        <f t="shared" si="5"/>
        <v>115832.96216456531</v>
      </c>
      <c r="AE17" s="242">
        <f t="shared" si="5"/>
        <v>118692.93659491249</v>
      </c>
      <c r="AF17" s="242">
        <f t="shared" si="5"/>
        <v>121623.52524067288</v>
      </c>
      <c r="AG17" s="242">
        <f t="shared" si="5"/>
        <v>124626.4716025455</v>
      </c>
      <c r="AH17" s="242">
        <f t="shared" si="5"/>
        <v>127703.56222914354</v>
      </c>
      <c r="AI17" s="242">
        <f t="shared" si="5"/>
        <v>130856.62777986922</v>
      </c>
      <c r="AJ17" s="242">
        <f t="shared" si="5"/>
        <v>134087.54411403139</v>
      </c>
      <c r="AK17" s="242">
        <f>(AJ17*(1+$E$2)^2)/($E$1-$E$2)</f>
        <v>3107310.4642854375</v>
      </c>
    </row>
    <row r="18" spans="1:37" hidden="1" outlineLevel="1">
      <c r="A18" s="339" t="s">
        <v>399</v>
      </c>
      <c r="B18" s="339"/>
      <c r="C18" s="339"/>
      <c r="D18" s="207"/>
      <c r="E18" s="242" t="str">
        <f t="shared" si="0"/>
        <v/>
      </c>
      <c r="F18" s="242"/>
      <c r="G18" s="242"/>
      <c r="H18" s="242"/>
      <c r="I18" s="242"/>
      <c r="J18" s="242"/>
      <c r="K18" s="242"/>
      <c r="L18" s="242"/>
      <c r="M18" s="242"/>
      <c r="N18" s="242"/>
      <c r="O18" s="242"/>
      <c r="P18" s="242"/>
      <c r="Q18" s="242"/>
      <c r="R18" s="242"/>
      <c r="S18" s="242"/>
      <c r="T18" s="242"/>
      <c r="U18" s="242"/>
      <c r="V18" s="242"/>
      <c r="W18" s="242"/>
      <c r="X18" s="242"/>
      <c r="Y18" s="242"/>
      <c r="Z18" s="242"/>
      <c r="AA18" s="242"/>
      <c r="AB18" s="242"/>
      <c r="AC18" s="242"/>
      <c r="AD18" s="242"/>
      <c r="AE18" s="242"/>
      <c r="AF18" s="242"/>
      <c r="AG18" s="242"/>
      <c r="AH18" s="242"/>
      <c r="AI18" s="242"/>
      <c r="AJ18" s="242"/>
      <c r="AK18" s="242"/>
    </row>
    <row r="19" spans="1:37" hidden="1" outlineLevel="1">
      <c r="A19" s="339" t="s">
        <v>399</v>
      </c>
      <c r="B19" s="339"/>
      <c r="C19" s="339"/>
      <c r="D19" s="222" t="s">
        <v>445</v>
      </c>
      <c r="E19" s="242" t="str">
        <f t="shared" si="0"/>
        <v/>
      </c>
      <c r="F19" s="242"/>
      <c r="G19" s="242"/>
      <c r="H19" s="242"/>
      <c r="I19" s="242"/>
      <c r="J19" s="242"/>
      <c r="K19" s="242"/>
      <c r="L19" s="242"/>
      <c r="M19" s="242"/>
      <c r="N19" s="242"/>
      <c r="O19" s="242"/>
      <c r="P19" s="242"/>
      <c r="Q19" s="242"/>
      <c r="R19" s="242"/>
      <c r="S19" s="242"/>
      <c r="T19" s="242"/>
      <c r="U19" s="242"/>
      <c r="V19" s="242"/>
      <c r="W19" s="242"/>
      <c r="X19" s="242"/>
      <c r="Y19" s="242"/>
      <c r="Z19" s="242"/>
      <c r="AA19" s="242"/>
      <c r="AB19" s="242"/>
      <c r="AC19" s="242"/>
      <c r="AD19" s="242"/>
      <c r="AE19" s="242"/>
      <c r="AF19" s="242"/>
      <c r="AG19" s="242"/>
      <c r="AH19" s="242"/>
      <c r="AI19" s="242"/>
      <c r="AJ19" s="242"/>
      <c r="AK19" s="242"/>
    </row>
    <row r="20" spans="1:37" hidden="1" outlineLevel="1">
      <c r="A20" s="339" t="s">
        <v>399</v>
      </c>
      <c r="B20" s="339" t="s">
        <v>1564</v>
      </c>
      <c r="C20" s="339" t="s">
        <v>445</v>
      </c>
      <c r="D20" s="207" t="s">
        <v>408</v>
      </c>
      <c r="E20" s="242">
        <f t="shared" si="0"/>
        <v>-14452739.194712115</v>
      </c>
      <c r="F20" s="242">
        <v>0</v>
      </c>
      <c r="G20" s="242">
        <v>0</v>
      </c>
      <c r="H20" s="242">
        <v>0</v>
      </c>
      <c r="I20" s="250">
        <f>-'Benefits, Costs, Inv'!P24</f>
        <v>-759307.08212070598</v>
      </c>
      <c r="J20" s="242">
        <f t="shared" ref="J20:AJ20" si="6">I20*(1+$E$2)</f>
        <v>-778054.75807637675</v>
      </c>
      <c r="K20" s="242">
        <f t="shared" si="6"/>
        <v>-797265.32363496965</v>
      </c>
      <c r="L20" s="242">
        <f t="shared" si="6"/>
        <v>-816950.20777493517</v>
      </c>
      <c r="M20" s="242">
        <f t="shared" si="6"/>
        <v>-837121.12166198308</v>
      </c>
      <c r="N20" s="242">
        <f t="shared" si="6"/>
        <v>-857790.06561642874</v>
      </c>
      <c r="O20" s="242">
        <f t="shared" si="6"/>
        <v>-878969.33625256631</v>
      </c>
      <c r="P20" s="242">
        <f t="shared" si="6"/>
        <v>-900671.53379431739</v>
      </c>
      <c r="Q20" s="242">
        <f t="shared" si="6"/>
        <v>-922909.56957150588</v>
      </c>
      <c r="R20" s="242">
        <f t="shared" si="6"/>
        <v>-945696.67370122042</v>
      </c>
      <c r="S20" s="242">
        <f t="shared" si="6"/>
        <v>-969046.40295883291</v>
      </c>
      <c r="T20" s="242">
        <f t="shared" si="6"/>
        <v>-992972.64884335711</v>
      </c>
      <c r="U20" s="242">
        <f t="shared" si="6"/>
        <v>-1017489.6458419443</v>
      </c>
      <c r="V20" s="242">
        <f t="shared" si="6"/>
        <v>-1042611.9798984342</v>
      </c>
      <c r="W20" s="242">
        <f t="shared" si="6"/>
        <v>-1068354.5970909984</v>
      </c>
      <c r="X20" s="242">
        <f t="shared" si="6"/>
        <v>-1094732.8125240388</v>
      </c>
      <c r="Y20" s="242">
        <f t="shared" si="6"/>
        <v>-1121762.3194396324</v>
      </c>
      <c r="Z20" s="242">
        <f t="shared" si="6"/>
        <v>-1149459.1985539414</v>
      </c>
      <c r="AA20" s="242">
        <f t="shared" si="6"/>
        <v>-1177839.9276241448</v>
      </c>
      <c r="AB20" s="242">
        <f t="shared" si="6"/>
        <v>-1206921.3912515813</v>
      </c>
      <c r="AC20" s="242">
        <f t="shared" si="6"/>
        <v>-1236720.890926938</v>
      </c>
      <c r="AD20" s="242">
        <f t="shared" si="6"/>
        <v>-1267256.1553234591</v>
      </c>
      <c r="AE20" s="242">
        <f t="shared" si="6"/>
        <v>-1298545.3508442992</v>
      </c>
      <c r="AF20" s="242">
        <f t="shared" si="6"/>
        <v>-1330607.0924302966</v>
      </c>
      <c r="AG20" s="242">
        <f t="shared" si="6"/>
        <v>-1363460.454634595</v>
      </c>
      <c r="AH20" s="242">
        <f t="shared" si="6"/>
        <v>-1397124.9829707043</v>
      </c>
      <c r="AI20" s="242">
        <f t="shared" si="6"/>
        <v>-1431620.7055407502</v>
      </c>
      <c r="AJ20" s="242">
        <f t="shared" si="6"/>
        <v>-1466968.1449508308</v>
      </c>
      <c r="AK20" s="242">
        <f>(AJ20*(1+$E$2)^2)/($E$1-$E$2)</f>
        <v>-33995144.722037703</v>
      </c>
    </row>
    <row r="21" spans="1:37" hidden="1" outlineLevel="1">
      <c r="A21" s="339" t="s">
        <v>399</v>
      </c>
      <c r="B21" s="339"/>
      <c r="C21" s="339"/>
      <c r="D21" s="207"/>
      <c r="E21" s="242"/>
      <c r="F21" s="242"/>
      <c r="G21" s="242"/>
      <c r="H21" s="242"/>
      <c r="I21" s="250"/>
      <c r="J21" s="242"/>
      <c r="K21" s="242"/>
      <c r="L21" s="242"/>
      <c r="M21" s="242"/>
      <c r="N21" s="242"/>
      <c r="O21" s="242"/>
      <c r="P21" s="242"/>
      <c r="Q21" s="242"/>
      <c r="R21" s="242"/>
      <c r="S21" s="242"/>
      <c r="T21" s="242"/>
      <c r="U21" s="242"/>
      <c r="V21" s="242"/>
      <c r="W21" s="242"/>
      <c r="X21" s="242"/>
      <c r="Y21" s="242"/>
      <c r="Z21" s="242"/>
      <c r="AA21" s="242"/>
      <c r="AB21" s="242"/>
      <c r="AC21" s="242"/>
      <c r="AD21" s="242"/>
      <c r="AE21" s="242"/>
      <c r="AF21" s="242"/>
      <c r="AG21" s="242"/>
      <c r="AH21" s="242"/>
      <c r="AI21" s="242"/>
      <c r="AJ21" s="242"/>
      <c r="AK21" s="242"/>
    </row>
    <row r="22" spans="1:37" hidden="1" outlineLevel="1">
      <c r="A22" s="339" t="s">
        <v>399</v>
      </c>
      <c r="B22" s="339"/>
      <c r="C22" s="339"/>
      <c r="D22" s="222" t="s">
        <v>447</v>
      </c>
      <c r="E22" s="242"/>
      <c r="F22" s="242"/>
      <c r="G22" s="242"/>
      <c r="H22" s="242"/>
      <c r="I22" s="250"/>
      <c r="J22" s="242"/>
      <c r="K22" s="242"/>
      <c r="L22" s="242"/>
      <c r="M22" s="242"/>
      <c r="N22" s="242"/>
      <c r="O22" s="242"/>
      <c r="P22" s="242"/>
      <c r="Q22" s="242"/>
      <c r="R22" s="242"/>
      <c r="S22" s="242"/>
      <c r="T22" s="242"/>
      <c r="U22" s="242"/>
      <c r="V22" s="242"/>
      <c r="W22" s="242"/>
      <c r="X22" s="242"/>
      <c r="Y22" s="242"/>
      <c r="Z22" s="242"/>
      <c r="AA22" s="242"/>
      <c r="AB22" s="242"/>
      <c r="AC22" s="242"/>
      <c r="AD22" s="242"/>
      <c r="AE22" s="242"/>
      <c r="AF22" s="242"/>
      <c r="AG22" s="242"/>
      <c r="AH22" s="242"/>
      <c r="AI22" s="242"/>
      <c r="AJ22" s="242"/>
      <c r="AK22" s="242"/>
    </row>
    <row r="23" spans="1:37" hidden="1" outlineLevel="1">
      <c r="A23" s="339" t="s">
        <v>399</v>
      </c>
      <c r="B23" s="339" t="s">
        <v>1564</v>
      </c>
      <c r="C23" s="339" t="s">
        <v>447</v>
      </c>
      <c r="D23" s="207" t="s">
        <v>1522</v>
      </c>
      <c r="E23" s="242">
        <f t="shared" si="0"/>
        <v>-19950033.074213177</v>
      </c>
      <c r="F23" s="250">
        <f>-'Benefits, Costs, Inv'!P39/3</f>
        <v>-7104666.666666667</v>
      </c>
      <c r="G23" s="242">
        <f>F23</f>
        <v>-7104666.666666667</v>
      </c>
      <c r="H23" s="242">
        <f>G23</f>
        <v>-7104666.666666667</v>
      </c>
      <c r="I23" s="242">
        <v>0</v>
      </c>
      <c r="J23" s="242">
        <v>0</v>
      </c>
      <c r="K23" s="242">
        <v>0</v>
      </c>
      <c r="L23" s="242">
        <v>0</v>
      </c>
      <c r="M23" s="242">
        <v>0</v>
      </c>
      <c r="N23" s="242">
        <v>0</v>
      </c>
      <c r="O23" s="242">
        <v>0</v>
      </c>
      <c r="P23" s="242">
        <v>0</v>
      </c>
      <c r="Q23" s="242">
        <v>0</v>
      </c>
      <c r="R23" s="242">
        <v>0</v>
      </c>
      <c r="S23" s="242">
        <v>0</v>
      </c>
      <c r="T23" s="242">
        <v>0</v>
      </c>
      <c r="U23" s="242">
        <v>0</v>
      </c>
      <c r="V23" s="242">
        <v>0</v>
      </c>
      <c r="W23" s="242">
        <v>0</v>
      </c>
      <c r="X23" s="242">
        <v>0</v>
      </c>
      <c r="Y23" s="242">
        <v>0</v>
      </c>
      <c r="Z23" s="242">
        <v>0</v>
      </c>
      <c r="AA23" s="242">
        <v>0</v>
      </c>
      <c r="AB23" s="242">
        <v>0</v>
      </c>
      <c r="AC23" s="242">
        <v>0</v>
      </c>
      <c r="AD23" s="242">
        <v>0</v>
      </c>
      <c r="AE23" s="242">
        <v>0</v>
      </c>
      <c r="AF23" s="242">
        <v>0</v>
      </c>
      <c r="AG23" s="242">
        <v>0</v>
      </c>
      <c r="AH23" s="242">
        <v>0</v>
      </c>
      <c r="AI23" s="242">
        <v>0</v>
      </c>
      <c r="AJ23" s="242">
        <v>0</v>
      </c>
      <c r="AK23" s="242"/>
    </row>
    <row r="24" spans="1:37" collapsed="1">
      <c r="A24" s="339"/>
      <c r="B24" s="339"/>
      <c r="C24" s="339"/>
      <c r="E24" t="str">
        <f t="shared" si="0"/>
        <v/>
      </c>
      <c r="F24" s="243"/>
      <c r="G24" s="243"/>
      <c r="H24" s="243"/>
      <c r="I24" s="243"/>
      <c r="J24" s="243"/>
      <c r="K24" s="243"/>
      <c r="L24" s="243"/>
      <c r="M24" s="243"/>
      <c r="N24" s="243"/>
      <c r="O24" s="243"/>
      <c r="P24" s="243"/>
      <c r="Q24" s="243"/>
      <c r="R24" s="243"/>
      <c r="S24" s="243"/>
      <c r="T24" s="243"/>
      <c r="U24" s="243"/>
      <c r="V24" s="243"/>
      <c r="W24" s="243"/>
      <c r="X24" s="243"/>
      <c r="Y24" s="243"/>
      <c r="Z24" s="243"/>
      <c r="AA24" s="243"/>
      <c r="AB24" s="243"/>
      <c r="AC24" s="243"/>
      <c r="AD24" s="243"/>
      <c r="AE24" s="243"/>
      <c r="AF24" s="243"/>
      <c r="AG24" s="243"/>
      <c r="AH24" s="243"/>
      <c r="AI24" s="243"/>
      <c r="AJ24" s="243"/>
      <c r="AK24" s="243"/>
    </row>
    <row r="25" spans="1:37" ht="18.75">
      <c r="A25" s="339" t="s">
        <v>425</v>
      </c>
      <c r="B25" s="339"/>
      <c r="C25" s="339"/>
      <c r="D25" s="223" t="s">
        <v>425</v>
      </c>
      <c r="E25" s="223" t="str">
        <f t="shared" si="0"/>
        <v/>
      </c>
      <c r="F25" s="244"/>
      <c r="G25" s="244"/>
      <c r="H25" s="244"/>
      <c r="I25" s="244"/>
      <c r="J25" s="244"/>
      <c r="K25" s="244"/>
      <c r="L25" s="244"/>
      <c r="M25" s="244"/>
      <c r="N25" s="244"/>
      <c r="O25" s="244"/>
      <c r="P25" s="244"/>
      <c r="Q25" s="244"/>
      <c r="R25" s="244"/>
      <c r="S25" s="244"/>
      <c r="T25" s="244"/>
      <c r="U25" s="244"/>
      <c r="V25" s="244"/>
      <c r="W25" s="244"/>
      <c r="X25" s="244"/>
      <c r="Y25" s="244"/>
      <c r="Z25" s="244"/>
      <c r="AA25" s="244"/>
      <c r="AB25" s="244"/>
      <c r="AC25" s="244"/>
      <c r="AD25" s="244"/>
      <c r="AE25" s="244"/>
      <c r="AF25" s="244"/>
      <c r="AG25" s="244"/>
      <c r="AH25" s="244"/>
      <c r="AI25" s="244"/>
      <c r="AJ25" s="244"/>
      <c r="AK25" s="244"/>
    </row>
    <row r="26" spans="1:37" hidden="1" outlineLevel="1">
      <c r="A26" s="339" t="s">
        <v>425</v>
      </c>
      <c r="B26" s="339"/>
      <c r="C26" s="339"/>
      <c r="D26" s="205"/>
      <c r="E26" s="205" t="str">
        <f t="shared" si="0"/>
        <v/>
      </c>
      <c r="F26" s="244"/>
      <c r="G26" s="244"/>
      <c r="H26" s="244"/>
      <c r="I26" s="244"/>
      <c r="J26" s="244"/>
      <c r="K26" s="244"/>
      <c r="L26" s="244"/>
      <c r="M26" s="244"/>
      <c r="N26" s="244"/>
      <c r="O26" s="244"/>
      <c r="P26" s="244"/>
      <c r="Q26" s="244"/>
      <c r="R26" s="244"/>
      <c r="S26" s="244"/>
      <c r="T26" s="244"/>
      <c r="U26" s="244"/>
      <c r="V26" s="244"/>
      <c r="W26" s="244"/>
      <c r="X26" s="244"/>
      <c r="Y26" s="244"/>
      <c r="Z26" s="244"/>
      <c r="AA26" s="244"/>
      <c r="AB26" s="244"/>
      <c r="AC26" s="244"/>
      <c r="AD26" s="244"/>
      <c r="AE26" s="244"/>
      <c r="AF26" s="244"/>
      <c r="AG26" s="244"/>
      <c r="AH26" s="244"/>
      <c r="AI26" s="244"/>
      <c r="AJ26" s="244"/>
      <c r="AK26" s="244"/>
    </row>
    <row r="27" spans="1:37" hidden="1" outlineLevel="1">
      <c r="A27" s="339" t="s">
        <v>425</v>
      </c>
      <c r="B27" s="339"/>
      <c r="C27" s="339"/>
      <c r="D27" s="224" t="s">
        <v>444</v>
      </c>
      <c r="E27" s="205" t="str">
        <f t="shared" si="0"/>
        <v/>
      </c>
      <c r="F27" s="244"/>
      <c r="G27" s="244"/>
      <c r="H27" s="244"/>
      <c r="I27" s="244"/>
      <c r="J27" s="244"/>
      <c r="K27" s="244"/>
      <c r="L27" s="244"/>
      <c r="M27" s="244"/>
      <c r="N27" s="244"/>
      <c r="O27" s="244"/>
      <c r="P27" s="244"/>
      <c r="Q27" s="244"/>
      <c r="R27" s="244"/>
      <c r="S27" s="244"/>
      <c r="T27" s="244"/>
      <c r="U27" s="244"/>
      <c r="V27" s="244"/>
      <c r="W27" s="244"/>
      <c r="X27" s="244"/>
      <c r="Y27" s="244"/>
      <c r="Z27" s="244"/>
      <c r="AA27" s="244"/>
      <c r="AB27" s="244"/>
      <c r="AC27" s="244"/>
      <c r="AD27" s="244"/>
      <c r="AE27" s="244"/>
      <c r="AF27" s="244"/>
      <c r="AG27" s="244"/>
      <c r="AH27" s="244"/>
      <c r="AI27" s="244"/>
      <c r="AJ27" s="244"/>
      <c r="AK27" s="244"/>
    </row>
    <row r="28" spans="1:37" hidden="1" outlineLevel="1">
      <c r="A28" s="339" t="s">
        <v>425</v>
      </c>
      <c r="B28" s="339" t="s">
        <v>400</v>
      </c>
      <c r="C28" s="339" t="s">
        <v>444</v>
      </c>
      <c r="D28" s="205" t="s">
        <v>424</v>
      </c>
      <c r="E28" s="244">
        <f t="shared" si="0"/>
        <v>7862239.8392178146</v>
      </c>
      <c r="F28" s="244">
        <v>0</v>
      </c>
      <c r="G28" s="244">
        <v>0</v>
      </c>
      <c r="H28" s="244">
        <v>0</v>
      </c>
      <c r="I28" s="249">
        <f>'Benefits, Costs, Inv'!P33</f>
        <v>413060.41095890413</v>
      </c>
      <c r="J28" s="244">
        <f t="shared" ref="J28:AJ28" si="7">I28*(1+$E$2)</f>
        <v>423259.08145351527</v>
      </c>
      <c r="K28" s="244">
        <f t="shared" si="7"/>
        <v>433709.5622816711</v>
      </c>
      <c r="L28" s="244">
        <f t="shared" si="7"/>
        <v>444418.07076788589</v>
      </c>
      <c r="M28" s="244">
        <f t="shared" si="7"/>
        <v>455390.97774556134</v>
      </c>
      <c r="N28" s="244">
        <f t="shared" si="7"/>
        <v>466634.8113471985</v>
      </c>
      <c r="O28" s="244">
        <f t="shared" si="7"/>
        <v>478156.26088819216</v>
      </c>
      <c r="P28" s="244">
        <f t="shared" si="7"/>
        <v>489962.18084651802</v>
      </c>
      <c r="Q28" s="244">
        <f t="shared" si="7"/>
        <v>502059.59494068031</v>
      </c>
      <c r="R28" s="244">
        <f t="shared" si="7"/>
        <v>514455.70030834619</v>
      </c>
      <c r="S28" s="244">
        <f t="shared" si="7"/>
        <v>527157.87178815249</v>
      </c>
      <c r="T28" s="244">
        <f t="shared" si="7"/>
        <v>540173.66630723258</v>
      </c>
      <c r="U28" s="244">
        <f t="shared" si="7"/>
        <v>553510.82737707335</v>
      </c>
      <c r="V28" s="244">
        <f t="shared" si="7"/>
        <v>567177.2897003775</v>
      </c>
      <c r="W28" s="244">
        <f t="shared" si="7"/>
        <v>581181.18389167113</v>
      </c>
      <c r="X28" s="244">
        <f t="shared" si="7"/>
        <v>595530.84131446609</v>
      </c>
      <c r="Y28" s="244">
        <f t="shared" si="7"/>
        <v>610234.79903785361</v>
      </c>
      <c r="Z28" s="244">
        <f t="shared" si="7"/>
        <v>625301.80491547938</v>
      </c>
      <c r="AA28" s="244">
        <f t="shared" si="7"/>
        <v>640740.82278992073</v>
      </c>
      <c r="AB28" s="244">
        <f t="shared" si="7"/>
        <v>656561.03782556253</v>
      </c>
      <c r="AC28" s="244">
        <f t="shared" si="7"/>
        <v>672771.86197314481</v>
      </c>
      <c r="AD28" s="244">
        <f t="shared" si="7"/>
        <v>689382.93956923229</v>
      </c>
      <c r="AE28" s="244">
        <f t="shared" si="7"/>
        <v>706404.1530739381</v>
      </c>
      <c r="AF28" s="244">
        <f t="shared" si="7"/>
        <v>723845.62895031483</v>
      </c>
      <c r="AG28" s="244">
        <f t="shared" si="7"/>
        <v>741717.74368891004</v>
      </c>
      <c r="AH28" s="244">
        <f t="shared" si="7"/>
        <v>760031.12998107215</v>
      </c>
      <c r="AI28" s="244">
        <f t="shared" si="7"/>
        <v>778796.68304467748</v>
      </c>
      <c r="AJ28" s="244">
        <f t="shared" si="7"/>
        <v>798025.56710604311</v>
      </c>
      <c r="AK28" s="244">
        <f>(AJ28*(1+$E$2)^2)/($E$1-$E$2)</f>
        <v>18493240.455855604</v>
      </c>
    </row>
    <row r="29" spans="1:37" s="218" customFormat="1" hidden="1" outlineLevel="1">
      <c r="A29" s="339" t="s">
        <v>425</v>
      </c>
      <c r="B29" s="339" t="s">
        <v>400</v>
      </c>
      <c r="C29" s="339" t="s">
        <v>444</v>
      </c>
      <c r="D29" s="205" t="s">
        <v>427</v>
      </c>
      <c r="E29" s="244">
        <f t="shared" si="0"/>
        <v>310500251.72687954</v>
      </c>
      <c r="F29" s="244">
        <v>0</v>
      </c>
      <c r="G29" s="244">
        <v>0</v>
      </c>
      <c r="H29" s="244">
        <v>0</v>
      </c>
      <c r="I29" s="249">
        <f>'Benefits, Costs, Inv'!P34</f>
        <v>16312827.41355646</v>
      </c>
      <c r="J29" s="244">
        <f t="shared" ref="J29:AJ29" si="8">I29*(1+$E$2)</f>
        <v>16715599.374297271</v>
      </c>
      <c r="K29" s="244">
        <f t="shared" si="8"/>
        <v>17128315.978492357</v>
      </c>
      <c r="L29" s="244">
        <f t="shared" si="8"/>
        <v>17551222.764419142</v>
      </c>
      <c r="M29" s="244">
        <f t="shared" si="8"/>
        <v>17984571.332819317</v>
      </c>
      <c r="N29" s="244">
        <f t="shared" si="8"/>
        <v>18428619.496584162</v>
      </c>
      <c r="O29" s="244">
        <f t="shared" si="8"/>
        <v>18883631.434135661</v>
      </c>
      <c r="P29" s="244">
        <f t="shared" si="8"/>
        <v>19349877.846594665</v>
      </c>
      <c r="Q29" s="244">
        <f t="shared" si="8"/>
        <v>19827636.118829641</v>
      </c>
      <c r="R29" s="244">
        <f t="shared" si="8"/>
        <v>20317190.484481771</v>
      </c>
      <c r="S29" s="244">
        <f t="shared" si="8"/>
        <v>20818832.195064619</v>
      </c>
      <c r="T29" s="244">
        <f t="shared" si="8"/>
        <v>21332859.693238951</v>
      </c>
      <c r="U29" s="244">
        <f t="shared" si="8"/>
        <v>21859578.790365793</v>
      </c>
      <c r="V29" s="244">
        <f t="shared" si="8"/>
        <v>22399302.84844337</v>
      </c>
      <c r="W29" s="244">
        <f t="shared" si="8"/>
        <v>22952352.966536164</v>
      </c>
      <c r="X29" s="244">
        <f t="shared" si="8"/>
        <v>23519058.17180698</v>
      </c>
      <c r="Y29" s="244">
        <f t="shared" si="8"/>
        <v>24099755.61526572</v>
      </c>
      <c r="Z29" s="244">
        <f t="shared" si="8"/>
        <v>24694790.772351261</v>
      </c>
      <c r="AA29" s="244">
        <f t="shared" si="8"/>
        <v>25304517.648465835</v>
      </c>
      <c r="AB29" s="244">
        <f t="shared" si="8"/>
        <v>25929298.989584126</v>
      </c>
      <c r="AC29" s="244">
        <f t="shared" si="8"/>
        <v>26569506.498062424</v>
      </c>
      <c r="AD29" s="244">
        <f t="shared" si="8"/>
        <v>27225521.053776234</v>
      </c>
      <c r="AE29" s="244">
        <f t="shared" si="8"/>
        <v>27897732.940717846</v>
      </c>
      <c r="AF29" s="244">
        <f t="shared" si="8"/>
        <v>28586542.079188753</v>
      </c>
      <c r="AG29" s="244">
        <f t="shared" si="8"/>
        <v>29292358.263724986</v>
      </c>
      <c r="AH29" s="244">
        <f t="shared" si="8"/>
        <v>30015601.406896975</v>
      </c>
      <c r="AI29" s="244">
        <f t="shared" si="8"/>
        <v>30756701.789128922</v>
      </c>
      <c r="AJ29" s="244">
        <f t="shared" si="8"/>
        <v>31516100.314686365</v>
      </c>
      <c r="AK29" s="244">
        <f>(AJ29*(1+$E$2)^2)/($E$1-$E$2)</f>
        <v>730346050.77121937</v>
      </c>
    </row>
    <row r="30" spans="1:37" hidden="1" outlineLevel="1">
      <c r="A30" s="339" t="s">
        <v>425</v>
      </c>
      <c r="B30" s="339" t="s">
        <v>400</v>
      </c>
      <c r="C30" s="339" t="s">
        <v>444</v>
      </c>
      <c r="D30" s="205" t="s">
        <v>429</v>
      </c>
      <c r="E30" s="244">
        <f t="shared" si="0"/>
        <v>151643439.36203617</v>
      </c>
      <c r="F30" s="244">
        <v>0</v>
      </c>
      <c r="G30" s="244">
        <v>0</v>
      </c>
      <c r="H30" s="244">
        <v>0</v>
      </c>
      <c r="I30" s="249">
        <f>'Benefits, Costs, Inv'!P35</f>
        <v>7966928.3388760006</v>
      </c>
      <c r="J30" s="244">
        <f t="shared" ref="J30:AJ30" si="9">I30*(1+$E$2)</f>
        <v>8163635.8296610713</v>
      </c>
      <c r="K30" s="244">
        <f t="shared" si="9"/>
        <v>8365200.127898789</v>
      </c>
      <c r="L30" s="244">
        <f t="shared" si="9"/>
        <v>8571741.1506219935</v>
      </c>
      <c r="M30" s="244">
        <f t="shared" si="9"/>
        <v>8783381.7756757233</v>
      </c>
      <c r="N30" s="244">
        <f t="shared" si="9"/>
        <v>9000247.9148211703</v>
      </c>
      <c r="O30" s="244">
        <f t="shared" si="9"/>
        <v>9222468.5886446051</v>
      </c>
      <c r="P30" s="244">
        <f t="shared" si="9"/>
        <v>9450176.0033158362</v>
      </c>
      <c r="Q30" s="244">
        <f t="shared" si="9"/>
        <v>9683505.6292418819</v>
      </c>
      <c r="R30" s="244">
        <f t="shared" si="9"/>
        <v>9922596.2816626392</v>
      </c>
      <c r="S30" s="244">
        <f t="shared" si="9"/>
        <v>10167590.203236498</v>
      </c>
      <c r="T30" s="244">
        <f t="shared" si="9"/>
        <v>10418633.148665035</v>
      </c>
      <c r="U30" s="244">
        <f t="shared" si="9"/>
        <v>10675874.471407145</v>
      </c>
      <c r="V30" s="244">
        <f t="shared" si="9"/>
        <v>10939467.212534169</v>
      </c>
      <c r="W30" s="244">
        <f t="shared" si="9"/>
        <v>11209568.191778919</v>
      </c>
      <c r="X30" s="244">
        <f t="shared" si="9"/>
        <v>11486338.100832734</v>
      </c>
      <c r="Y30" s="244">
        <f t="shared" si="9"/>
        <v>11769941.598946104</v>
      </c>
      <c r="Z30" s="244">
        <f t="shared" si="9"/>
        <v>12060547.4108897</v>
      </c>
      <c r="AA30" s="244">
        <f t="shared" si="9"/>
        <v>12358328.427334139</v>
      </c>
      <c r="AB30" s="244">
        <f t="shared" si="9"/>
        <v>12663461.807708146</v>
      </c>
      <c r="AC30" s="244">
        <f t="shared" si="9"/>
        <v>12976129.085596362</v>
      </c>
      <c r="AD30" s="244">
        <f t="shared" si="9"/>
        <v>13296516.276739461</v>
      </c>
      <c r="AE30" s="244">
        <f t="shared" si="9"/>
        <v>13624813.98970085</v>
      </c>
      <c r="AF30" s="244">
        <f t="shared" si="9"/>
        <v>13961217.539265789</v>
      </c>
      <c r="AG30" s="244">
        <f t="shared" si="9"/>
        <v>14305927.062640384</v>
      </c>
      <c r="AH30" s="244">
        <f t="shared" si="9"/>
        <v>14659147.6385196</v>
      </c>
      <c r="AI30" s="244">
        <f t="shared" si="9"/>
        <v>15021089.409095123</v>
      </c>
      <c r="AJ30" s="244">
        <f t="shared" si="9"/>
        <v>15391967.705075651</v>
      </c>
      <c r="AK30" s="244">
        <f>(AJ30*(1+$E$2)^2)/($E$1-$E$2)</f>
        <v>356689524.23538518</v>
      </c>
    </row>
    <row r="31" spans="1:37" hidden="1" outlineLevel="1">
      <c r="A31" s="339" t="s">
        <v>425</v>
      </c>
      <c r="B31" s="339" t="s">
        <v>400</v>
      </c>
      <c r="C31" s="339" t="s">
        <v>444</v>
      </c>
      <c r="D31" s="205" t="s">
        <v>433</v>
      </c>
      <c r="E31" s="244">
        <f t="shared" si="0"/>
        <v>182781514.29193613</v>
      </c>
      <c r="F31" s="244">
        <v>0</v>
      </c>
      <c r="G31" s="244">
        <v>0</v>
      </c>
      <c r="H31" s="244">
        <v>0</v>
      </c>
      <c r="I31" s="249">
        <f>'Benefits, Costs, Inv'!P37</f>
        <v>9602836.9717895985</v>
      </c>
      <c r="J31" s="244">
        <f t="shared" ref="J31" si="10">I31*(1+$E$2)</f>
        <v>9839935.8742513396</v>
      </c>
      <c r="K31" s="244">
        <f t="shared" ref="K31" si="11">J31*(1+$E$2)</f>
        <v>10082888.86855216</v>
      </c>
      <c r="L31" s="244">
        <f t="shared" ref="L31" si="12">K31*(1+$E$2)</f>
        <v>10331840.495180879</v>
      </c>
      <c r="M31" s="244">
        <f t="shared" ref="M31" si="13">L31*(1+$E$2)</f>
        <v>10586938.863404101</v>
      </c>
      <c r="N31" s="244">
        <f t="shared" ref="N31" si="14">M31*(1+$E$2)</f>
        <v>10848335.739381146</v>
      </c>
      <c r="O31" s="244">
        <f t="shared" ref="O31" si="15">N31*(1+$E$2)</f>
        <v>11116186.636454577</v>
      </c>
      <c r="P31" s="244">
        <f t="shared" ref="P31" si="16">O31*(1+$E$2)</f>
        <v>11390650.907670051</v>
      </c>
      <c r="Q31" s="244">
        <f t="shared" ref="Q31" si="17">P31*(1+$E$2)</f>
        <v>11671891.840580536</v>
      </c>
      <c r="R31" s="244">
        <f t="shared" ref="R31" si="18">Q31*(1+$E$2)</f>
        <v>11960076.754391279</v>
      </c>
      <c r="S31" s="244">
        <f t="shared" ref="S31" si="19">R31*(1+$E$2)</f>
        <v>12255377.099503342</v>
      </c>
      <c r="T31" s="244">
        <f t="shared" ref="T31" si="20">S31*(1+$E$2)</f>
        <v>12557968.559514923</v>
      </c>
      <c r="U31" s="244">
        <f t="shared" ref="U31" si="21">T31*(1+$E$2)</f>
        <v>12868031.155741125</v>
      </c>
      <c r="V31" s="244">
        <f t="shared" ref="V31" si="22">U31*(1+$E$2)</f>
        <v>13185749.354314387</v>
      </c>
      <c r="W31" s="244">
        <f t="shared" ref="W31" si="23">V31*(1+$E$2)</f>
        <v>13511312.175929271</v>
      </c>
      <c r="X31" s="244">
        <f t="shared" ref="X31" si="24">W31*(1+$E$2)</f>
        <v>13844913.308296904</v>
      </c>
      <c r="Y31" s="244">
        <f t="shared" ref="Y31" si="25">X31*(1+$E$2)</f>
        <v>14186751.221375979</v>
      </c>
      <c r="Z31" s="244">
        <f t="shared" ref="Z31" si="26">Y31*(1+$E$2)</f>
        <v>14537029.285448866</v>
      </c>
      <c r="AA31" s="244">
        <f t="shared" ref="AA31" si="27">Z31*(1+$E$2)</f>
        <v>14895955.892113082</v>
      </c>
      <c r="AB31" s="244">
        <f t="shared" ref="AB31" si="28">AA31*(1+$E$2)</f>
        <v>15263744.578260101</v>
      </c>
      <c r="AC31" s="244">
        <f t="shared" ref="AC31" si="29">AB31*(1+$E$2)</f>
        <v>15640614.153115267</v>
      </c>
      <c r="AD31" s="244">
        <f t="shared" ref="AD31" si="30">AC31*(1+$E$2)</f>
        <v>16026788.828414384</v>
      </c>
      <c r="AE31" s="244">
        <f t="shared" ref="AE31" si="31">AD31*(1+$E$2)</f>
        <v>16422498.351794429</v>
      </c>
      <c r="AF31" s="244">
        <f t="shared" ref="AF31" si="32">AE31*(1+$E$2)</f>
        <v>16827978.143477757</v>
      </c>
      <c r="AG31" s="244">
        <f t="shared" ref="AG31" si="33">AF31*(1+$E$2)</f>
        <v>17243469.436331101</v>
      </c>
      <c r="AH31" s="244">
        <f t="shared" ref="AH31" si="34">AG31*(1+$E$2)</f>
        <v>17669219.419382699</v>
      </c>
      <c r="AI31" s="244">
        <f t="shared" ref="AI31" si="35">AH31*(1+$E$2)</f>
        <v>18105481.384882942</v>
      </c>
      <c r="AJ31" s="244">
        <f t="shared" ref="AJ31" si="36">AI31*(1+$E$2)</f>
        <v>18552514.878996007</v>
      </c>
      <c r="AK31" s="244">
        <f>(AJ31*(1+$E$2)^2)/($E$1-$E$2)</f>
        <v>429931236.36666733</v>
      </c>
    </row>
    <row r="32" spans="1:37" hidden="1" outlineLevel="1">
      <c r="A32" s="339" t="s">
        <v>425</v>
      </c>
      <c r="B32" s="339"/>
      <c r="C32" s="339"/>
      <c r="D32" s="205"/>
      <c r="E32" s="244" t="str">
        <f t="shared" si="0"/>
        <v/>
      </c>
      <c r="F32" s="244"/>
      <c r="G32" s="244"/>
      <c r="H32" s="244"/>
      <c r="I32" s="249"/>
      <c r="J32" s="244"/>
      <c r="K32" s="244"/>
      <c r="L32" s="244"/>
      <c r="M32" s="244"/>
      <c r="N32" s="244"/>
      <c r="O32" s="244"/>
      <c r="P32" s="244"/>
      <c r="Q32" s="244"/>
      <c r="R32" s="244"/>
      <c r="S32" s="244"/>
      <c r="T32" s="244"/>
      <c r="U32" s="244"/>
      <c r="V32" s="244"/>
      <c r="W32" s="244"/>
      <c r="X32" s="244"/>
      <c r="Y32" s="244"/>
      <c r="Z32" s="244"/>
      <c r="AA32" s="244"/>
      <c r="AB32" s="244"/>
      <c r="AC32" s="244"/>
      <c r="AD32" s="244"/>
      <c r="AE32" s="244"/>
      <c r="AF32" s="244"/>
      <c r="AG32" s="244"/>
      <c r="AH32" s="244"/>
      <c r="AI32" s="244"/>
      <c r="AJ32" s="244"/>
      <c r="AK32" s="244"/>
    </row>
    <row r="33" spans="1:37" hidden="1" outlineLevel="1">
      <c r="A33" s="339" t="s">
        <v>425</v>
      </c>
      <c r="B33" s="339"/>
      <c r="C33" s="339"/>
      <c r="D33" s="224" t="s">
        <v>445</v>
      </c>
      <c r="E33" s="244" t="str">
        <f t="shared" si="0"/>
        <v/>
      </c>
      <c r="F33" s="244"/>
      <c r="G33" s="244"/>
      <c r="H33" s="244"/>
      <c r="I33" s="249"/>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244"/>
      <c r="AH33" s="244"/>
      <c r="AI33" s="244"/>
      <c r="AJ33" s="244"/>
      <c r="AK33" s="244"/>
    </row>
    <row r="34" spans="1:37" hidden="1" outlineLevel="1">
      <c r="A34" s="339" t="s">
        <v>425</v>
      </c>
      <c r="B34" s="339" t="s">
        <v>1564</v>
      </c>
      <c r="C34" s="339" t="s">
        <v>445</v>
      </c>
      <c r="D34" s="205" t="s">
        <v>1519</v>
      </c>
      <c r="E34" s="244">
        <f t="shared" si="0"/>
        <v>-13279855.86184499</v>
      </c>
      <c r="F34" s="244">
        <v>0</v>
      </c>
      <c r="G34" s="244">
        <v>0</v>
      </c>
      <c r="H34" s="244">
        <v>0</v>
      </c>
      <c r="I34" s="249">
        <f>-'Benefits, Costs, Inv'!P31</f>
        <v>-697687.02455589583</v>
      </c>
      <c r="J34" s="244">
        <f t="shared" ref="J34" si="37">I34*(1+$E$2)</f>
        <v>-714913.27011957252</v>
      </c>
      <c r="K34" s="244">
        <f t="shared" ref="K34" si="38">J34*(1+$E$2)</f>
        <v>-732564.84040017216</v>
      </c>
      <c r="L34" s="244">
        <f t="shared" ref="L34" si="39">K34*(1+$E$2)</f>
        <v>-750652.23688010767</v>
      </c>
      <c r="M34" s="244">
        <f t="shared" ref="M34" si="40">L34*(1+$E$2)</f>
        <v>-769186.22032870469</v>
      </c>
      <c r="N34" s="244">
        <f t="shared" ref="N34" si="41">M34*(1+$E$2)</f>
        <v>-788177.8172041272</v>
      </c>
      <c r="O34" s="244">
        <f t="shared" ref="O34" si="42">N34*(1+$E$2)</f>
        <v>-807638.3262133688</v>
      </c>
      <c r="P34" s="244">
        <f t="shared" ref="P34" si="43">O34*(1+$E$2)</f>
        <v>-827579.32503421418</v>
      </c>
      <c r="Q34" s="244">
        <f t="shared" ref="Q34" si="44">P34*(1+$E$2)</f>
        <v>-848012.67720316944</v>
      </c>
      <c r="R34" s="244">
        <f t="shared" ref="R34" si="45">Q34*(1+$E$2)</f>
        <v>-868950.539173458</v>
      </c>
      <c r="S34" s="244">
        <f t="shared" ref="S34" si="46">R34*(1+$E$2)</f>
        <v>-890405.36754728272</v>
      </c>
      <c r="T34" s="244">
        <f t="shared" ref="T34" si="47">S34*(1+$E$2)</f>
        <v>-912389.9264866563</v>
      </c>
      <c r="U34" s="244">
        <f t="shared" ref="U34" si="48">T34*(1+$E$2)</f>
        <v>-934917.29530720809</v>
      </c>
      <c r="V34" s="244">
        <f t="shared" ref="V34" si="49">U34*(1+$E$2)</f>
        <v>-958000.87625948666</v>
      </c>
      <c r="W34" s="244">
        <f t="shared" ref="W34" si="50">V34*(1+$E$2)</f>
        <v>-981654.40250238613</v>
      </c>
      <c r="X34" s="244">
        <f t="shared" ref="X34" si="51">W34*(1+$E$2)</f>
        <v>-1005891.9462734407</v>
      </c>
      <c r="Y34" s="244">
        <f t="shared" ref="Y34" si="52">X34*(1+$E$2)</f>
        <v>-1030727.9272608479</v>
      </c>
      <c r="Z34" s="244">
        <f t="shared" ref="Z34" si="53">Y34*(1+$E$2)</f>
        <v>-1056177.121182201</v>
      </c>
      <c r="AA34" s="244">
        <f t="shared" ref="AA34" si="54">Z34*(1+$E$2)</f>
        <v>-1082254.6685750349</v>
      </c>
      <c r="AB34" s="244">
        <f t="shared" ref="AB34" si="55">AA34*(1+$E$2)</f>
        <v>-1108976.0838044153</v>
      </c>
      <c r="AC34" s="244">
        <f t="shared" ref="AC34" si="56">AB34*(1+$E$2)</f>
        <v>-1136357.2642929293</v>
      </c>
      <c r="AD34" s="244">
        <f t="shared" ref="AD34" si="57">AC34*(1+$E$2)</f>
        <v>-1164414.4999785696</v>
      </c>
      <c r="AE34" s="244">
        <f t="shared" ref="AE34" si="58">AD34*(1+$E$2)</f>
        <v>-1193164.4830061379</v>
      </c>
      <c r="AF34" s="244">
        <f t="shared" ref="AF34" si="59">AE34*(1+$E$2)</f>
        <v>-1222624.317657935</v>
      </c>
      <c r="AG34" s="244">
        <f t="shared" ref="AG34" si="60">AF34*(1+$E$2)</f>
        <v>-1252811.5305296441</v>
      </c>
      <c r="AH34" s="244">
        <f t="shared" ref="AH34" si="61">AG34*(1+$E$2)</f>
        <v>-1283744.0809574616</v>
      </c>
      <c r="AI34" s="244">
        <f t="shared" ref="AI34" si="62">AH34*(1+$E$2)</f>
        <v>-1315440.3717026794</v>
      </c>
      <c r="AJ34" s="244">
        <f t="shared" ref="AJ34" si="63">AI34*(1+$E$2)</f>
        <v>-1347919.2599000749</v>
      </c>
      <c r="AK34" s="244">
        <f>(AJ34*(1+$E$2)^2)/($E$1-$E$2)</f>
        <v>-31236336.297855243</v>
      </c>
    </row>
    <row r="35" spans="1:37" hidden="1" outlineLevel="1">
      <c r="A35" s="339" t="s">
        <v>425</v>
      </c>
      <c r="B35" s="339"/>
      <c r="C35" s="339"/>
      <c r="D35" s="205"/>
      <c r="E35" s="244" t="str">
        <f t="shared" si="0"/>
        <v/>
      </c>
      <c r="F35" s="244"/>
      <c r="G35" s="244"/>
      <c r="H35" s="244"/>
      <c r="I35" s="249"/>
      <c r="J35" s="244"/>
      <c r="K35" s="244"/>
      <c r="L35" s="244"/>
      <c r="M35" s="244"/>
      <c r="N35" s="244"/>
      <c r="O35" s="244"/>
      <c r="P35" s="244"/>
      <c r="Q35" s="244"/>
      <c r="R35" s="244"/>
      <c r="S35" s="244"/>
      <c r="T35" s="244"/>
      <c r="U35" s="244"/>
      <c r="V35" s="244"/>
      <c r="W35" s="244"/>
      <c r="X35" s="244"/>
      <c r="Y35" s="244"/>
      <c r="Z35" s="244"/>
      <c r="AA35" s="244"/>
      <c r="AB35" s="244"/>
      <c r="AC35" s="244"/>
      <c r="AD35" s="244"/>
      <c r="AE35" s="244"/>
      <c r="AF35" s="244"/>
      <c r="AG35" s="244"/>
      <c r="AH35" s="244"/>
      <c r="AI35" s="244"/>
      <c r="AJ35" s="244"/>
      <c r="AK35" s="244"/>
    </row>
    <row r="36" spans="1:37" hidden="1" outlineLevel="1">
      <c r="A36" s="339" t="s">
        <v>425</v>
      </c>
      <c r="B36" s="339"/>
      <c r="C36" s="339"/>
      <c r="D36" s="224" t="s">
        <v>447</v>
      </c>
      <c r="E36" s="244" t="str">
        <f t="shared" si="0"/>
        <v/>
      </c>
      <c r="F36" s="244"/>
      <c r="G36" s="244"/>
      <c r="H36" s="244"/>
      <c r="I36" s="249"/>
      <c r="J36" s="244"/>
      <c r="K36" s="244"/>
      <c r="L36" s="244"/>
      <c r="M36" s="244"/>
      <c r="N36" s="244"/>
      <c r="O36" s="244"/>
      <c r="P36" s="244"/>
      <c r="Q36" s="244"/>
      <c r="R36" s="244"/>
      <c r="S36" s="244"/>
      <c r="T36" s="244"/>
      <c r="U36" s="244"/>
      <c r="V36" s="244"/>
      <c r="W36" s="244"/>
      <c r="X36" s="244"/>
      <c r="Y36" s="244"/>
      <c r="Z36" s="244"/>
      <c r="AA36" s="244"/>
      <c r="AB36" s="244"/>
      <c r="AC36" s="244"/>
      <c r="AD36" s="244"/>
      <c r="AE36" s="244"/>
      <c r="AF36" s="244"/>
      <c r="AG36" s="244"/>
      <c r="AH36" s="244"/>
      <c r="AI36" s="244"/>
      <c r="AJ36" s="244"/>
      <c r="AK36" s="244"/>
    </row>
    <row r="37" spans="1:37" hidden="1" outlineLevel="1">
      <c r="A37" s="339" t="s">
        <v>425</v>
      </c>
      <c r="B37" s="339" t="s">
        <v>1564</v>
      </c>
      <c r="C37" s="339" t="s">
        <v>447</v>
      </c>
      <c r="D37" s="205" t="s">
        <v>1520</v>
      </c>
      <c r="E37" s="244">
        <f t="shared" si="0"/>
        <v>-44384803.293145753</v>
      </c>
      <c r="F37" s="249">
        <f>-'Benefits, Costs, Inv'!P30/3</f>
        <v>-15806451.612903224</v>
      </c>
      <c r="G37" s="244">
        <f>F37</f>
        <v>-15806451.612903224</v>
      </c>
      <c r="H37" s="244">
        <f>G37</f>
        <v>-15806451.612903224</v>
      </c>
      <c r="I37" s="244">
        <v>0</v>
      </c>
      <c r="J37" s="244">
        <v>0</v>
      </c>
      <c r="K37" s="244">
        <v>0</v>
      </c>
      <c r="L37" s="244">
        <v>0</v>
      </c>
      <c r="M37" s="244">
        <v>0</v>
      </c>
      <c r="N37" s="244">
        <v>0</v>
      </c>
      <c r="O37" s="244">
        <v>0</v>
      </c>
      <c r="P37" s="244">
        <v>0</v>
      </c>
      <c r="Q37" s="244">
        <v>0</v>
      </c>
      <c r="R37" s="244">
        <v>0</v>
      </c>
      <c r="S37" s="244">
        <v>0</v>
      </c>
      <c r="T37" s="244">
        <v>0</v>
      </c>
      <c r="U37" s="244">
        <v>0</v>
      </c>
      <c r="V37" s="244">
        <v>0</v>
      </c>
      <c r="W37" s="244">
        <v>0</v>
      </c>
      <c r="X37" s="244">
        <v>0</v>
      </c>
      <c r="Y37" s="244">
        <v>0</v>
      </c>
      <c r="Z37" s="244">
        <v>0</v>
      </c>
      <c r="AA37" s="244">
        <v>0</v>
      </c>
      <c r="AB37" s="244">
        <v>0</v>
      </c>
      <c r="AC37" s="244">
        <v>0</v>
      </c>
      <c r="AD37" s="244">
        <v>0</v>
      </c>
      <c r="AE37" s="244">
        <v>0</v>
      </c>
      <c r="AF37" s="244">
        <v>0</v>
      </c>
      <c r="AG37" s="244">
        <v>0</v>
      </c>
      <c r="AH37" s="244">
        <v>0</v>
      </c>
      <c r="AI37" s="244">
        <v>0</v>
      </c>
      <c r="AJ37" s="244">
        <v>0</v>
      </c>
      <c r="AK37" s="244"/>
    </row>
    <row r="38" spans="1:37" collapsed="1">
      <c r="A38" s="339"/>
      <c r="B38" s="339"/>
      <c r="C38" s="339"/>
      <c r="E38" t="str">
        <f t="shared" si="0"/>
        <v/>
      </c>
      <c r="F38" s="243"/>
      <c r="G38" s="243"/>
      <c r="H38" s="243"/>
      <c r="I38" s="243"/>
      <c r="J38" s="243"/>
      <c r="K38" s="243"/>
      <c r="L38" s="243"/>
      <c r="M38" s="243"/>
      <c r="N38" s="243"/>
      <c r="O38" s="243"/>
      <c r="P38" s="243"/>
      <c r="Q38" s="243"/>
      <c r="R38" s="243"/>
      <c r="S38" s="243"/>
      <c r="T38" s="243"/>
      <c r="U38" s="243"/>
      <c r="V38" s="243"/>
      <c r="W38" s="243"/>
      <c r="X38" s="243"/>
      <c r="Y38" s="243"/>
      <c r="Z38" s="243"/>
      <c r="AA38" s="243"/>
      <c r="AB38" s="243"/>
      <c r="AC38" s="243"/>
      <c r="AD38" s="243"/>
      <c r="AE38" s="243"/>
      <c r="AF38" s="243"/>
      <c r="AG38" s="243"/>
      <c r="AH38" s="243"/>
      <c r="AI38" s="243"/>
      <c r="AJ38" s="243"/>
      <c r="AK38" s="243"/>
    </row>
    <row r="39" spans="1:37" ht="18.75">
      <c r="A39" s="339" t="s">
        <v>368</v>
      </c>
      <c r="B39" s="339"/>
      <c r="C39" s="339"/>
      <c r="D39" s="225" t="s">
        <v>368</v>
      </c>
      <c r="E39" s="225" t="str">
        <f t="shared" si="0"/>
        <v/>
      </c>
      <c r="F39" s="245"/>
      <c r="G39" s="245"/>
      <c r="H39" s="245"/>
      <c r="I39" s="245"/>
      <c r="J39" s="245"/>
      <c r="K39" s="245"/>
      <c r="L39" s="245"/>
      <c r="M39" s="245"/>
      <c r="N39" s="245"/>
      <c r="O39" s="245"/>
      <c r="P39" s="245"/>
      <c r="Q39" s="245"/>
      <c r="R39" s="245"/>
      <c r="S39" s="245"/>
      <c r="T39" s="245"/>
      <c r="U39" s="245"/>
      <c r="V39" s="245"/>
      <c r="W39" s="245"/>
      <c r="X39" s="245"/>
      <c r="Y39" s="245"/>
      <c r="Z39" s="245"/>
      <c r="AA39" s="245"/>
      <c r="AB39" s="245"/>
      <c r="AC39" s="245"/>
      <c r="AD39" s="245"/>
      <c r="AE39" s="245"/>
      <c r="AF39" s="245"/>
      <c r="AG39" s="245"/>
      <c r="AH39" s="245"/>
      <c r="AI39" s="245"/>
      <c r="AJ39" s="245"/>
      <c r="AK39" s="245"/>
    </row>
    <row r="40" spans="1:37" hidden="1" outlineLevel="1">
      <c r="A40" s="339" t="s">
        <v>368</v>
      </c>
      <c r="B40" s="339"/>
      <c r="C40" s="339"/>
      <c r="D40" s="226"/>
      <c r="E40" s="226" t="str">
        <f t="shared" si="0"/>
        <v/>
      </c>
      <c r="F40" s="245"/>
      <c r="G40" s="245"/>
      <c r="H40" s="245"/>
      <c r="I40" s="245"/>
      <c r="J40" s="245"/>
      <c r="K40" s="245"/>
      <c r="L40" s="245"/>
      <c r="M40" s="245"/>
      <c r="N40" s="245"/>
      <c r="O40" s="245"/>
      <c r="P40" s="245"/>
      <c r="Q40" s="245"/>
      <c r="R40" s="245"/>
      <c r="S40" s="245"/>
      <c r="T40" s="245"/>
      <c r="U40" s="245"/>
      <c r="V40" s="245"/>
      <c r="W40" s="245"/>
      <c r="X40" s="245"/>
      <c r="Y40" s="245"/>
      <c r="Z40" s="245"/>
      <c r="AA40" s="245"/>
      <c r="AB40" s="245"/>
      <c r="AC40" s="245"/>
      <c r="AD40" s="245"/>
      <c r="AE40" s="245"/>
      <c r="AF40" s="245"/>
      <c r="AG40" s="245"/>
      <c r="AH40" s="245"/>
      <c r="AI40" s="245"/>
      <c r="AJ40" s="245"/>
      <c r="AK40" s="245"/>
    </row>
    <row r="41" spans="1:37" hidden="1" outlineLevel="1">
      <c r="A41" s="339" t="s">
        <v>368</v>
      </c>
      <c r="B41" s="339"/>
      <c r="C41" s="339"/>
      <c r="D41" s="227" t="s">
        <v>444</v>
      </c>
      <c r="E41" s="227" t="str">
        <f t="shared" si="0"/>
        <v/>
      </c>
      <c r="F41" s="245"/>
      <c r="G41" s="245"/>
      <c r="H41" s="245"/>
      <c r="I41" s="245"/>
      <c r="J41" s="245"/>
      <c r="K41" s="245"/>
      <c r="L41" s="245"/>
      <c r="M41" s="245"/>
      <c r="N41" s="245"/>
      <c r="O41" s="245"/>
      <c r="P41" s="245"/>
      <c r="Q41" s="245"/>
      <c r="R41" s="245"/>
      <c r="S41" s="245"/>
      <c r="T41" s="245"/>
      <c r="U41" s="245"/>
      <c r="V41" s="245"/>
      <c r="W41" s="245"/>
      <c r="X41" s="245"/>
      <c r="Y41" s="245"/>
      <c r="Z41" s="245"/>
      <c r="AA41" s="245"/>
      <c r="AB41" s="245"/>
      <c r="AC41" s="245"/>
      <c r="AD41" s="245"/>
      <c r="AE41" s="245"/>
      <c r="AF41" s="245"/>
      <c r="AG41" s="245"/>
      <c r="AH41" s="245"/>
      <c r="AI41" s="245"/>
      <c r="AJ41" s="245"/>
      <c r="AK41" s="245"/>
    </row>
    <row r="42" spans="1:37" hidden="1" outlineLevel="1">
      <c r="A42" s="339" t="s">
        <v>368</v>
      </c>
      <c r="B42" s="339" t="s">
        <v>1564</v>
      </c>
      <c r="C42" s="339" t="s">
        <v>444</v>
      </c>
      <c r="D42" s="226" t="s">
        <v>367</v>
      </c>
      <c r="E42" s="245">
        <f t="shared" si="0"/>
        <v>41657028.866191708</v>
      </c>
      <c r="F42" s="245">
        <v>0</v>
      </c>
      <c r="G42" s="245">
        <v>0</v>
      </c>
      <c r="H42" s="245">
        <v>0</v>
      </c>
      <c r="I42" s="248">
        <f>'Benefits, Costs, Inv'!P4</f>
        <v>2188545.48</v>
      </c>
      <c r="J42" s="245">
        <f t="shared" ref="J42:AJ42" si="64">I42*(1+$E$2)</f>
        <v>2242581.7749844915</v>
      </c>
      <c r="K42" s="245">
        <f t="shared" si="64"/>
        <v>2297952.2534265965</v>
      </c>
      <c r="L42" s="245">
        <f t="shared" si="64"/>
        <v>2354689.8569907849</v>
      </c>
      <c r="M42" s="245">
        <f t="shared" si="64"/>
        <v>2412828.3406878859</v>
      </c>
      <c r="N42" s="245">
        <f t="shared" si="64"/>
        <v>2472402.2929570214</v>
      </c>
      <c r="O42" s="245">
        <f t="shared" si="64"/>
        <v>2533447.1562433713</v>
      </c>
      <c r="P42" s="245">
        <f t="shared" si="64"/>
        <v>2595999.2480840161</v>
      </c>
      <c r="Q42" s="245">
        <f t="shared" si="64"/>
        <v>2660095.7827143981</v>
      </c>
      <c r="R42" s="245">
        <f t="shared" si="64"/>
        <v>2725774.8932082579</v>
      </c>
      <c r="S42" s="245">
        <f t="shared" si="64"/>
        <v>2793075.654164216</v>
      </c>
      <c r="T42" s="245">
        <f t="shared" si="64"/>
        <v>2862038.1049524988</v>
      </c>
      <c r="U42" s="245">
        <f t="shared" si="64"/>
        <v>2932703.2735356386</v>
      </c>
      <c r="V42" s="245">
        <f t="shared" si="64"/>
        <v>3005113.2008773158</v>
      </c>
      <c r="W42" s="245">
        <f t="shared" si="64"/>
        <v>3079310.9659538707</v>
      </c>
      <c r="X42" s="245">
        <f t="shared" si="64"/>
        <v>3155340.7113833614</v>
      </c>
      <c r="Y42" s="245">
        <f t="shared" si="64"/>
        <v>3233247.6696874159</v>
      </c>
      <c r="Z42" s="245">
        <f t="shared" si="64"/>
        <v>3313078.1902015014</v>
      </c>
      <c r="AA42" s="245">
        <f t="shared" si="64"/>
        <v>3394879.7666496243</v>
      </c>
      <c r="AB42" s="245">
        <f t="shared" si="64"/>
        <v>3478701.0653998614</v>
      </c>
      <c r="AC42" s="245">
        <f t="shared" si="64"/>
        <v>3564591.9544175351</v>
      </c>
      <c r="AD42" s="245">
        <f t="shared" si="64"/>
        <v>3652603.5329332585</v>
      </c>
      <c r="AE42" s="245">
        <f t="shared" si="64"/>
        <v>3742788.1618434959</v>
      </c>
      <c r="AF42" s="245">
        <f t="shared" si="64"/>
        <v>3835199.4948617332</v>
      </c>
      <c r="AG42" s="245">
        <f t="shared" si="64"/>
        <v>3929892.5104387826</v>
      </c>
      <c r="AH42" s="245">
        <f t="shared" si="64"/>
        <v>4026923.5444712187</v>
      </c>
      <c r="AI42" s="245">
        <f t="shared" si="64"/>
        <v>4126350.3238173993</v>
      </c>
      <c r="AJ42" s="245">
        <f t="shared" si="64"/>
        <v>4228232.0006410172</v>
      </c>
      <c r="AK42" s="245">
        <f>(AJ42*(1+$E$2)^2)/($E$1-$E$2)</f>
        <v>97983967.323953182</v>
      </c>
    </row>
    <row r="43" spans="1:37" hidden="1" outlineLevel="1">
      <c r="A43" s="339" t="s">
        <v>368</v>
      </c>
      <c r="B43" s="339" t="s">
        <v>1564</v>
      </c>
      <c r="C43" s="339" t="s">
        <v>444</v>
      </c>
      <c r="D43" s="226" t="s">
        <v>372</v>
      </c>
      <c r="E43" s="245">
        <f t="shared" si="0"/>
        <v>84176026.818618402</v>
      </c>
      <c r="F43" s="245">
        <v>0</v>
      </c>
      <c r="G43" s="245">
        <v>0</v>
      </c>
      <c r="H43" s="245">
        <v>0</v>
      </c>
      <c r="I43" s="248">
        <f>'Benefits, Costs, Inv'!P5</f>
        <v>4422376.4400000004</v>
      </c>
      <c r="J43" s="245">
        <f t="shared" ref="J43:AJ43" si="65">I43*(1+$E$2)</f>
        <v>4531567.1513780002</v>
      </c>
      <c r="K43" s="245">
        <f t="shared" si="65"/>
        <v>4643453.8366544209</v>
      </c>
      <c r="L43" s="245">
        <f t="shared" si="65"/>
        <v>4758103.060788583</v>
      </c>
      <c r="M43" s="245">
        <f t="shared" si="65"/>
        <v>4875583.0322623234</v>
      </c>
      <c r="N43" s="245">
        <f t="shared" si="65"/>
        <v>4995963.6436593998</v>
      </c>
      <c r="O43" s="245">
        <f t="shared" si="65"/>
        <v>5119316.5132468184</v>
      </c>
      <c r="P43" s="245">
        <f t="shared" si="65"/>
        <v>5245715.0275828252</v>
      </c>
      <c r="Q43" s="245">
        <f t="shared" si="65"/>
        <v>5375234.3851769138</v>
      </c>
      <c r="R43" s="245">
        <f t="shared" si="65"/>
        <v>5507951.6412278144</v>
      </c>
      <c r="S43" s="245">
        <f t="shared" si="65"/>
        <v>5643945.7534660939</v>
      </c>
      <c r="T43" s="245">
        <f t="shared" si="65"/>
        <v>5783297.6291286284</v>
      </c>
      <c r="U43" s="245">
        <f t="shared" si="65"/>
        <v>5926090.1730928989</v>
      </c>
      <c r="V43" s="245">
        <f t="shared" si="65"/>
        <v>6072408.3371997485</v>
      </c>
      <c r="W43" s="245">
        <f t="shared" si="65"/>
        <v>6222339.170793945</v>
      </c>
      <c r="X43" s="245">
        <f t="shared" si="65"/>
        <v>6375971.8725126125</v>
      </c>
      <c r="Y43" s="245">
        <f t="shared" si="65"/>
        <v>6533397.8433523467</v>
      </c>
      <c r="Z43" s="245">
        <f t="shared" si="65"/>
        <v>6694710.7410465851</v>
      </c>
      <c r="AA43" s="245">
        <f t="shared" si="65"/>
        <v>6860006.535785581</v>
      </c>
      <c r="AB43" s="245">
        <f t="shared" si="65"/>
        <v>7029383.5673121316</v>
      </c>
      <c r="AC43" s="245">
        <f t="shared" si="65"/>
        <v>7202942.6034270292</v>
      </c>
      <c r="AD43" s="245">
        <f t="shared" si="65"/>
        <v>7380786.8999390416</v>
      </c>
      <c r="AE43" s="245">
        <f t="shared" si="65"/>
        <v>7563022.2620950872</v>
      </c>
      <c r="AF43" s="245">
        <f t="shared" si="65"/>
        <v>7749757.1075271526</v>
      </c>
      <c r="AG43" s="245">
        <f t="shared" si="65"/>
        <v>7941102.530753403</v>
      </c>
      <c r="AH43" s="245">
        <f t="shared" si="65"/>
        <v>8137172.369271853</v>
      </c>
      <c r="AI43" s="245">
        <f t="shared" si="65"/>
        <v>8338083.2712859288</v>
      </c>
      <c r="AJ43" s="245">
        <f t="shared" si="65"/>
        <v>8543954.7651022058</v>
      </c>
      <c r="AK43" s="245">
        <f>(AJ43*(1+$E$2)^2)/($E$1-$E$2)</f>
        <v>197995423.23935631</v>
      </c>
    </row>
    <row r="44" spans="1:37" hidden="1" outlineLevel="1">
      <c r="A44" s="339" t="s">
        <v>368</v>
      </c>
      <c r="B44" s="339"/>
      <c r="C44" s="339"/>
      <c r="D44" s="226"/>
      <c r="E44" s="226" t="str">
        <f t="shared" si="0"/>
        <v/>
      </c>
      <c r="F44" s="245"/>
      <c r="G44" s="245"/>
      <c r="H44" s="245"/>
      <c r="I44" s="245"/>
      <c r="J44" s="245"/>
      <c r="K44" s="245"/>
      <c r="L44" s="245"/>
      <c r="M44" s="245"/>
      <c r="N44" s="245"/>
      <c r="O44" s="245"/>
      <c r="P44" s="245"/>
      <c r="Q44" s="245"/>
      <c r="R44" s="245"/>
      <c r="S44" s="245"/>
      <c r="T44" s="245"/>
      <c r="U44" s="245"/>
      <c r="V44" s="245"/>
      <c r="W44" s="245"/>
      <c r="X44" s="245"/>
      <c r="Y44" s="245"/>
      <c r="Z44" s="245"/>
      <c r="AA44" s="245"/>
      <c r="AB44" s="245"/>
      <c r="AC44" s="245"/>
      <c r="AD44" s="245"/>
      <c r="AE44" s="245"/>
      <c r="AF44" s="245"/>
      <c r="AG44" s="245"/>
      <c r="AH44" s="245"/>
      <c r="AI44" s="245"/>
      <c r="AJ44" s="245"/>
      <c r="AK44" s="245"/>
    </row>
    <row r="45" spans="1:37" hidden="1" outlineLevel="1">
      <c r="A45" s="339" t="s">
        <v>368</v>
      </c>
      <c r="B45" s="339"/>
      <c r="C45" s="339"/>
      <c r="D45" s="227" t="s">
        <v>445</v>
      </c>
      <c r="E45" s="227" t="str">
        <f t="shared" si="0"/>
        <v/>
      </c>
      <c r="F45" s="245"/>
      <c r="G45" s="245"/>
      <c r="H45" s="245"/>
      <c r="I45" s="245"/>
      <c r="J45" s="245"/>
      <c r="K45" s="245"/>
      <c r="L45" s="245"/>
      <c r="M45" s="245"/>
      <c r="N45" s="245"/>
      <c r="O45" s="245"/>
      <c r="P45" s="245"/>
      <c r="Q45" s="245"/>
      <c r="R45" s="245"/>
      <c r="S45" s="245"/>
      <c r="T45" s="245"/>
      <c r="U45" s="245"/>
      <c r="V45" s="245"/>
      <c r="W45" s="245"/>
      <c r="X45" s="245"/>
      <c r="Y45" s="245"/>
      <c r="Z45" s="245"/>
      <c r="AA45" s="245"/>
      <c r="AB45" s="245"/>
      <c r="AC45" s="245"/>
      <c r="AD45" s="245"/>
      <c r="AE45" s="245"/>
      <c r="AF45" s="245"/>
      <c r="AG45" s="245"/>
      <c r="AH45" s="245"/>
      <c r="AI45" s="245"/>
      <c r="AJ45" s="245"/>
      <c r="AK45" s="245"/>
    </row>
    <row r="46" spans="1:37" hidden="1" outlineLevel="1">
      <c r="A46" s="339" t="s">
        <v>368</v>
      </c>
      <c r="B46" s="339" t="s">
        <v>1564</v>
      </c>
      <c r="C46" s="339" t="s">
        <v>445</v>
      </c>
      <c r="D46" s="226" t="s">
        <v>446</v>
      </c>
      <c r="E46" s="245">
        <f t="shared" si="0"/>
        <v>-10569222.773562636</v>
      </c>
      <c r="F46" s="245">
        <v>0</v>
      </c>
      <c r="G46" s="245">
        <v>0</v>
      </c>
      <c r="H46" s="245">
        <v>0</v>
      </c>
      <c r="I46" s="248">
        <f>-'Benefits, Costs, Inv'!P6</f>
        <v>-555277.8332438051</v>
      </c>
      <c r="J46" s="245">
        <f t="shared" ref="J46:AJ46" si="66">I46*(1+$E$2)</f>
        <v>-568987.9238358048</v>
      </c>
      <c r="K46" s="245">
        <f t="shared" si="66"/>
        <v>-583036.5234998177</v>
      </c>
      <c r="L46" s="245">
        <f t="shared" si="66"/>
        <v>-597431.99019606772</v>
      </c>
      <c r="M46" s="245">
        <f t="shared" si="66"/>
        <v>-612182.88824704476</v>
      </c>
      <c r="N46" s="245">
        <f t="shared" si="66"/>
        <v>-627297.99343269318</v>
      </c>
      <c r="O46" s="245">
        <f t="shared" si="66"/>
        <v>-642786.29821140342</v>
      </c>
      <c r="P46" s="245">
        <f t="shared" si="66"/>
        <v>-658657.01706991252</v>
      </c>
      <c r="Q46" s="245">
        <f t="shared" si="66"/>
        <v>-674919.59200529614</v>
      </c>
      <c r="R46" s="245">
        <f t="shared" si="66"/>
        <v>-691583.6981423141</v>
      </c>
      <c r="S46" s="245">
        <f t="shared" si="66"/>
        <v>-708659.24948945071</v>
      </c>
      <c r="T46" s="245">
        <f t="shared" si="66"/>
        <v>-726156.40483707469</v>
      </c>
      <c r="U46" s="245">
        <f t="shared" si="66"/>
        <v>-744085.57380122796</v>
      </c>
      <c r="V46" s="245">
        <f t="shared" si="66"/>
        <v>-762457.42301663826</v>
      </c>
      <c r="W46" s="245">
        <f t="shared" si="66"/>
        <v>-781282.88248264045</v>
      </c>
      <c r="X46" s="245">
        <f t="shared" si="66"/>
        <v>-800573.15206578188</v>
      </c>
      <c r="Y46" s="245">
        <f t="shared" si="66"/>
        <v>-820339.70816298062</v>
      </c>
      <c r="Z46" s="245">
        <f t="shared" si="66"/>
        <v>-840594.31052919989</v>
      </c>
      <c r="AA46" s="245">
        <f t="shared" si="66"/>
        <v>-861349.0092737017</v>
      </c>
      <c r="AB46" s="245">
        <f t="shared" si="66"/>
        <v>-882616.15202904132</v>
      </c>
      <c r="AC46" s="245">
        <f t="shared" si="66"/>
        <v>-904408.39129706786</v>
      </c>
      <c r="AD46" s="245">
        <f t="shared" si="66"/>
        <v>-926738.69197630149</v>
      </c>
      <c r="AE46" s="245">
        <f t="shared" si="66"/>
        <v>-949620.33907516522</v>
      </c>
      <c r="AF46" s="245">
        <f t="shared" si="66"/>
        <v>-973066.94561566005</v>
      </c>
      <c r="AG46" s="245">
        <f t="shared" si="66"/>
        <v>-997092.46073218668</v>
      </c>
      <c r="AH46" s="245">
        <f t="shared" si="66"/>
        <v>-1021711.1779703301</v>
      </c>
      <c r="AI46" s="245">
        <f t="shared" si="66"/>
        <v>-1046937.7437905465</v>
      </c>
      <c r="AJ46" s="245">
        <f t="shared" si="66"/>
        <v>-1072787.1662818096</v>
      </c>
      <c r="AK46" s="245">
        <f>(AJ46*(1+$E$2)^2)/($E$1-$E$2)</f>
        <v>-24860495.505113516</v>
      </c>
    </row>
    <row r="47" spans="1:37" hidden="1" outlineLevel="1">
      <c r="A47" s="339" t="s">
        <v>368</v>
      </c>
      <c r="B47" s="339" t="s">
        <v>1564</v>
      </c>
      <c r="C47" s="339" t="s">
        <v>445</v>
      </c>
      <c r="D47" s="226" t="s">
        <v>381</v>
      </c>
      <c r="E47" s="245">
        <f t="shared" si="0"/>
        <v>-11487125.127151296</v>
      </c>
      <c r="F47" s="245">
        <v>0</v>
      </c>
      <c r="G47" s="245">
        <v>0</v>
      </c>
      <c r="H47" s="245">
        <v>0</v>
      </c>
      <c r="I47" s="248">
        <f>-'Benefits, Costs, Inv'!P8</f>
        <v>-603501.89294524491</v>
      </c>
      <c r="J47" s="245">
        <f t="shared" ref="J47:AJ47" si="67">I47*(1+$E$2)</f>
        <v>-618402.65996558033</v>
      </c>
      <c r="K47" s="245">
        <f t="shared" si="67"/>
        <v>-633671.33446125232</v>
      </c>
      <c r="L47" s="245">
        <f t="shared" si="67"/>
        <v>-649317.00025393418</v>
      </c>
      <c r="M47" s="245">
        <f t="shared" si="67"/>
        <v>-665348.96544945147</v>
      </c>
      <c r="N47" s="245">
        <f t="shared" si="67"/>
        <v>-681776.7679754711</v>
      </c>
      <c r="O47" s="245">
        <f t="shared" si="67"/>
        <v>-698610.18125591881</v>
      </c>
      <c r="P47" s="245">
        <f t="shared" si="67"/>
        <v>-715859.22002550098</v>
      </c>
      <c r="Q47" s="245">
        <f t="shared" si="67"/>
        <v>-733534.14628779003</v>
      </c>
      <c r="R47" s="245">
        <f t="shared" si="67"/>
        <v>-751645.4754204175</v>
      </c>
      <c r="S47" s="245">
        <f t="shared" si="67"/>
        <v>-770203.9824310079</v>
      </c>
      <c r="T47" s="245">
        <f t="shared" si="67"/>
        <v>-789220.70836757473</v>
      </c>
      <c r="U47" s="245">
        <f t="shared" si="67"/>
        <v>-808706.96688719187</v>
      </c>
      <c r="V47" s="245">
        <f t="shared" si="67"/>
        <v>-828674.35098684952</v>
      </c>
      <c r="W47" s="245">
        <f t="shared" si="67"/>
        <v>-849134.73990049795</v>
      </c>
      <c r="X47" s="245">
        <f t="shared" si="67"/>
        <v>-870100.30616638286</v>
      </c>
      <c r="Y47" s="245">
        <f t="shared" si="67"/>
        <v>-891583.52286887658</v>
      </c>
      <c r="Z47" s="245">
        <f t="shared" si="67"/>
        <v>-913597.17105911416</v>
      </c>
      <c r="AA47" s="245">
        <f t="shared" si="67"/>
        <v>-936154.34735884878</v>
      </c>
      <c r="AB47" s="245">
        <f t="shared" si="67"/>
        <v>-959268.4717520494</v>
      </c>
      <c r="AC47" s="245">
        <f t="shared" si="67"/>
        <v>-982953.29556887783</v>
      </c>
      <c r="AD47" s="245">
        <f t="shared" si="67"/>
        <v>-1007222.9096667937</v>
      </c>
      <c r="AE47" s="245">
        <f t="shared" si="67"/>
        <v>-1032091.7528136552</v>
      </c>
      <c r="AF47" s="245">
        <f t="shared" si="67"/>
        <v>-1057574.6202778029</v>
      </c>
      <c r="AG47" s="245">
        <f t="shared" si="67"/>
        <v>-1083686.6726302369</v>
      </c>
      <c r="AH47" s="245">
        <f t="shared" si="67"/>
        <v>-1110443.4447641245</v>
      </c>
      <c r="AI47" s="245">
        <f t="shared" si="67"/>
        <v>-1137860.8551370034</v>
      </c>
      <c r="AJ47" s="245">
        <f t="shared" si="67"/>
        <v>-1165955.2152411803</v>
      </c>
      <c r="AK47" s="245">
        <f>(AJ47*(1+$E$2)^2)/($E$1-$E$2)</f>
        <v>-27019548.050831791</v>
      </c>
    </row>
    <row r="48" spans="1:37" hidden="1" outlineLevel="1">
      <c r="A48" s="339" t="s">
        <v>368</v>
      </c>
      <c r="B48" s="339"/>
      <c r="C48" s="339"/>
      <c r="D48" s="226"/>
      <c r="E48" s="226" t="str">
        <f t="shared" si="0"/>
        <v/>
      </c>
      <c r="F48" s="245"/>
      <c r="G48" s="245"/>
      <c r="H48" s="245"/>
      <c r="I48" s="245"/>
      <c r="J48" s="245"/>
      <c r="K48" s="245"/>
      <c r="L48" s="245"/>
      <c r="M48" s="245"/>
      <c r="N48" s="245"/>
      <c r="O48" s="245"/>
      <c r="P48" s="245"/>
      <c r="Q48" s="245"/>
      <c r="R48" s="245"/>
      <c r="S48" s="245"/>
      <c r="T48" s="245"/>
      <c r="U48" s="245"/>
      <c r="V48" s="245"/>
      <c r="W48" s="245"/>
      <c r="X48" s="245"/>
      <c r="Y48" s="245"/>
      <c r="Z48" s="245"/>
      <c r="AA48" s="245"/>
      <c r="AB48" s="245"/>
      <c r="AC48" s="245"/>
      <c r="AD48" s="245"/>
      <c r="AE48" s="245"/>
      <c r="AF48" s="245"/>
      <c r="AG48" s="245"/>
      <c r="AH48" s="245"/>
      <c r="AI48" s="245"/>
      <c r="AJ48" s="245"/>
      <c r="AK48" s="245"/>
    </row>
    <row r="49" spans="1:37" hidden="1" outlineLevel="1">
      <c r="A49" s="339" t="s">
        <v>368</v>
      </c>
      <c r="B49" s="339"/>
      <c r="C49" s="339"/>
      <c r="D49" s="227" t="s">
        <v>447</v>
      </c>
      <c r="E49" s="227" t="str">
        <f t="shared" si="0"/>
        <v/>
      </c>
      <c r="F49" s="245"/>
      <c r="G49" s="245"/>
      <c r="H49" s="245"/>
      <c r="I49" s="245"/>
      <c r="J49" s="245"/>
      <c r="K49" s="245"/>
      <c r="L49" s="245"/>
      <c r="M49" s="245"/>
      <c r="N49" s="245"/>
      <c r="O49" s="245"/>
      <c r="P49" s="245"/>
      <c r="Q49" s="245"/>
      <c r="R49" s="245"/>
      <c r="S49" s="245"/>
      <c r="T49" s="245"/>
      <c r="U49" s="245"/>
      <c r="V49" s="245"/>
      <c r="W49" s="245"/>
      <c r="X49" s="245"/>
      <c r="Y49" s="245"/>
      <c r="Z49" s="245"/>
      <c r="AA49" s="245"/>
      <c r="AB49" s="245"/>
      <c r="AC49" s="245"/>
      <c r="AD49" s="245"/>
      <c r="AE49" s="245"/>
      <c r="AF49" s="245"/>
      <c r="AG49" s="245"/>
      <c r="AH49" s="245"/>
      <c r="AI49" s="245"/>
      <c r="AJ49" s="245"/>
      <c r="AK49" s="245"/>
    </row>
    <row r="50" spans="1:37" hidden="1" outlineLevel="1">
      <c r="A50" s="339" t="s">
        <v>368</v>
      </c>
      <c r="B50" s="339" t="s">
        <v>1564</v>
      </c>
      <c r="C50" s="339" t="s">
        <v>447</v>
      </c>
      <c r="D50" s="226" t="s">
        <v>377</v>
      </c>
      <c r="E50" s="245">
        <f t="shared" si="0"/>
        <v>-822744.54511406552</v>
      </c>
      <c r="F50" s="248">
        <f>-'Benefits, Costs, Inv'!P7/3</f>
        <v>-292998.29845441342</v>
      </c>
      <c r="G50" s="245">
        <f t="shared" ref="G50:H52" si="68">F50</f>
        <v>-292998.29845441342</v>
      </c>
      <c r="H50" s="245">
        <f t="shared" si="68"/>
        <v>-292998.29845441342</v>
      </c>
      <c r="I50" s="245">
        <v>0</v>
      </c>
      <c r="J50" s="245">
        <v>0</v>
      </c>
      <c r="K50" s="245">
        <v>0</v>
      </c>
      <c r="L50" s="245">
        <v>0</v>
      </c>
      <c r="M50" s="245">
        <v>0</v>
      </c>
      <c r="N50" s="245">
        <v>0</v>
      </c>
      <c r="O50" s="245">
        <v>0</v>
      </c>
      <c r="P50" s="245">
        <v>0</v>
      </c>
      <c r="Q50" s="245">
        <v>0</v>
      </c>
      <c r="R50" s="245">
        <v>0</v>
      </c>
      <c r="S50" s="245">
        <v>0</v>
      </c>
      <c r="T50" s="245">
        <v>0</v>
      </c>
      <c r="U50" s="245">
        <v>0</v>
      </c>
      <c r="V50" s="245">
        <v>0</v>
      </c>
      <c r="W50" s="245">
        <v>0</v>
      </c>
      <c r="X50" s="245">
        <v>0</v>
      </c>
      <c r="Y50" s="245">
        <v>0</v>
      </c>
      <c r="Z50" s="245">
        <v>0</v>
      </c>
      <c r="AA50" s="245">
        <v>0</v>
      </c>
      <c r="AB50" s="245">
        <v>0</v>
      </c>
      <c r="AC50" s="245">
        <v>0</v>
      </c>
      <c r="AD50" s="245">
        <v>0</v>
      </c>
      <c r="AE50" s="245">
        <v>0</v>
      </c>
      <c r="AF50" s="245">
        <v>0</v>
      </c>
      <c r="AG50" s="245">
        <v>0</v>
      </c>
      <c r="AH50" s="245">
        <v>0</v>
      </c>
      <c r="AI50" s="245">
        <v>0</v>
      </c>
      <c r="AJ50" s="245">
        <v>0</v>
      </c>
      <c r="AK50" s="245"/>
    </row>
    <row r="51" spans="1:37" hidden="1" outlineLevel="1">
      <c r="A51" s="339" t="s">
        <v>368</v>
      </c>
      <c r="B51" s="339" t="s">
        <v>1564</v>
      </c>
      <c r="C51" s="339" t="s">
        <v>447</v>
      </c>
      <c r="D51" s="226" t="s">
        <v>382</v>
      </c>
      <c r="E51" s="245">
        <f t="shared" si="0"/>
        <v>-22229745.549080376</v>
      </c>
      <c r="F51" s="248">
        <f>-'Benefits, Costs, Inv'!P9/3</f>
        <v>-7916524.8309876276</v>
      </c>
      <c r="G51" s="245">
        <f t="shared" si="68"/>
        <v>-7916524.8309876276</v>
      </c>
      <c r="H51" s="245">
        <f t="shared" si="68"/>
        <v>-7916524.8309876276</v>
      </c>
      <c r="I51" s="245">
        <v>0</v>
      </c>
      <c r="J51" s="245">
        <v>0</v>
      </c>
      <c r="K51" s="245">
        <v>0</v>
      </c>
      <c r="L51" s="245">
        <v>0</v>
      </c>
      <c r="M51" s="245">
        <v>0</v>
      </c>
      <c r="N51" s="245">
        <v>0</v>
      </c>
      <c r="O51" s="245">
        <v>0</v>
      </c>
      <c r="P51" s="245">
        <v>0</v>
      </c>
      <c r="Q51" s="245">
        <v>0</v>
      </c>
      <c r="R51" s="245">
        <v>0</v>
      </c>
      <c r="S51" s="245">
        <v>0</v>
      </c>
      <c r="T51" s="245">
        <v>0</v>
      </c>
      <c r="U51" s="245">
        <v>0</v>
      </c>
      <c r="V51" s="245">
        <v>0</v>
      </c>
      <c r="W51" s="245">
        <v>0</v>
      </c>
      <c r="X51" s="245">
        <v>0</v>
      </c>
      <c r="Y51" s="245">
        <v>0</v>
      </c>
      <c r="Z51" s="245">
        <v>0</v>
      </c>
      <c r="AA51" s="245">
        <v>0</v>
      </c>
      <c r="AB51" s="245">
        <v>0</v>
      </c>
      <c r="AC51" s="245">
        <v>0</v>
      </c>
      <c r="AD51" s="245">
        <v>0</v>
      </c>
      <c r="AE51" s="245">
        <v>0</v>
      </c>
      <c r="AF51" s="245">
        <v>0</v>
      </c>
      <c r="AG51" s="245">
        <v>0</v>
      </c>
      <c r="AH51" s="245">
        <v>0</v>
      </c>
      <c r="AI51" s="245">
        <v>0</v>
      </c>
      <c r="AJ51" s="245">
        <v>0</v>
      </c>
      <c r="AK51" s="245"/>
    </row>
    <row r="52" spans="1:37" hidden="1" outlineLevel="1">
      <c r="A52" s="339" t="s">
        <v>368</v>
      </c>
      <c r="B52" s="339" t="s">
        <v>1564</v>
      </c>
      <c r="C52" s="339" t="s">
        <v>447</v>
      </c>
      <c r="D52" s="226" t="s">
        <v>422</v>
      </c>
      <c r="E52" s="245">
        <f t="shared" si="0"/>
        <v>-2034720.7664291151</v>
      </c>
      <c r="F52" s="248">
        <f>-'Benefits, Costs, Inv'!P32/3</f>
        <v>-724610.96938775515</v>
      </c>
      <c r="G52" s="245">
        <f t="shared" si="68"/>
        <v>-724610.96938775515</v>
      </c>
      <c r="H52" s="245">
        <f t="shared" si="68"/>
        <v>-724610.96938775515</v>
      </c>
      <c r="I52" s="245">
        <v>0</v>
      </c>
      <c r="J52" s="245">
        <v>0</v>
      </c>
      <c r="K52" s="245">
        <v>0</v>
      </c>
      <c r="L52" s="245">
        <v>0</v>
      </c>
      <c r="M52" s="245">
        <v>0</v>
      </c>
      <c r="N52" s="245">
        <v>0</v>
      </c>
      <c r="O52" s="245">
        <v>0</v>
      </c>
      <c r="P52" s="245">
        <v>0</v>
      </c>
      <c r="Q52" s="245">
        <v>0</v>
      </c>
      <c r="R52" s="245">
        <v>0</v>
      </c>
      <c r="S52" s="245">
        <v>0</v>
      </c>
      <c r="T52" s="245">
        <v>0</v>
      </c>
      <c r="U52" s="245">
        <v>0</v>
      </c>
      <c r="V52" s="245">
        <v>0</v>
      </c>
      <c r="W52" s="245">
        <v>0</v>
      </c>
      <c r="X52" s="245">
        <v>0</v>
      </c>
      <c r="Y52" s="245">
        <v>0</v>
      </c>
      <c r="Z52" s="245">
        <v>0</v>
      </c>
      <c r="AA52" s="245">
        <v>0</v>
      </c>
      <c r="AB52" s="245">
        <v>0</v>
      </c>
      <c r="AC52" s="245">
        <v>0</v>
      </c>
      <c r="AD52" s="245">
        <v>0</v>
      </c>
      <c r="AE52" s="245">
        <v>0</v>
      </c>
      <c r="AF52" s="245">
        <v>0</v>
      </c>
      <c r="AG52" s="245">
        <v>0</v>
      </c>
      <c r="AH52" s="245">
        <v>0</v>
      </c>
      <c r="AI52" s="245">
        <v>0</v>
      </c>
      <c r="AJ52" s="245">
        <v>0</v>
      </c>
      <c r="AK52" s="245"/>
    </row>
    <row r="53" spans="1:37" collapsed="1">
      <c r="A53" s="339"/>
      <c r="B53" s="339"/>
      <c r="C53" s="339"/>
      <c r="E53" t="str">
        <f t="shared" si="0"/>
        <v/>
      </c>
      <c r="F53" s="243"/>
      <c r="G53" s="243"/>
      <c r="H53" s="243"/>
      <c r="I53" s="243"/>
      <c r="J53" s="243"/>
      <c r="K53" s="243"/>
      <c r="L53" s="243"/>
      <c r="M53" s="243"/>
      <c r="N53" s="243"/>
      <c r="O53" s="243"/>
      <c r="P53" s="243"/>
      <c r="Q53" s="243"/>
      <c r="R53" s="243"/>
      <c r="S53" s="243"/>
      <c r="T53" s="243"/>
      <c r="U53" s="243"/>
      <c r="V53" s="243"/>
      <c r="W53" s="243"/>
      <c r="X53" s="243"/>
      <c r="Y53" s="243"/>
      <c r="Z53" s="243"/>
      <c r="AA53" s="243"/>
      <c r="AB53" s="243"/>
      <c r="AC53" s="243"/>
      <c r="AD53" s="243"/>
      <c r="AE53" s="243"/>
      <c r="AF53" s="243"/>
      <c r="AG53" s="243"/>
      <c r="AH53" s="243"/>
      <c r="AI53" s="243"/>
      <c r="AJ53" s="243"/>
      <c r="AK53" s="243"/>
    </row>
    <row r="54" spans="1:37" ht="18.75">
      <c r="A54" s="339" t="s">
        <v>384</v>
      </c>
      <c r="B54" s="339"/>
      <c r="C54" s="339"/>
      <c r="D54" s="228" t="s">
        <v>384</v>
      </c>
      <c r="E54" s="228" t="str">
        <f t="shared" ref="E54:E80" si="69">IF(F54+NPV($E$1,G54:AK54)=0,"",F54+NPV($E$1,G54:AK54))</f>
        <v/>
      </c>
      <c r="F54" s="246"/>
      <c r="G54" s="246"/>
      <c r="H54" s="246"/>
      <c r="I54" s="246"/>
      <c r="J54" s="246"/>
      <c r="K54" s="246"/>
      <c r="L54" s="246"/>
      <c r="M54" s="246"/>
      <c r="N54" s="246"/>
      <c r="O54" s="246"/>
      <c r="P54" s="246"/>
      <c r="Q54" s="246"/>
      <c r="R54" s="246"/>
      <c r="S54" s="246"/>
      <c r="T54" s="246"/>
      <c r="U54" s="246"/>
      <c r="V54" s="246"/>
      <c r="W54" s="246"/>
      <c r="X54" s="246"/>
      <c r="Y54" s="246"/>
      <c r="Z54" s="246"/>
      <c r="AA54" s="246"/>
      <c r="AB54" s="246"/>
      <c r="AC54" s="246"/>
      <c r="AD54" s="246"/>
      <c r="AE54" s="246"/>
      <c r="AF54" s="246"/>
      <c r="AG54" s="246"/>
      <c r="AH54" s="246"/>
      <c r="AI54" s="246"/>
      <c r="AJ54" s="246"/>
      <c r="AK54" s="246"/>
    </row>
    <row r="55" spans="1:37" hidden="1" outlineLevel="1">
      <c r="A55" s="339" t="s">
        <v>384</v>
      </c>
      <c r="B55" s="339"/>
      <c r="C55" s="339"/>
      <c r="D55" s="206"/>
      <c r="E55" s="206" t="str">
        <f t="shared" si="69"/>
        <v/>
      </c>
      <c r="F55" s="246"/>
      <c r="G55" s="246"/>
      <c r="H55" s="246"/>
      <c r="I55" s="246"/>
      <c r="J55" s="246"/>
      <c r="K55" s="246"/>
      <c r="L55" s="246"/>
      <c r="M55" s="246"/>
      <c r="N55" s="246"/>
      <c r="O55" s="246"/>
      <c r="P55" s="246"/>
      <c r="Q55" s="246"/>
      <c r="R55" s="246"/>
      <c r="S55" s="246"/>
      <c r="T55" s="246"/>
      <c r="U55" s="246"/>
      <c r="V55" s="246"/>
      <c r="W55" s="246"/>
      <c r="X55" s="246"/>
      <c r="Y55" s="246"/>
      <c r="Z55" s="246"/>
      <c r="AA55" s="246"/>
      <c r="AB55" s="246"/>
      <c r="AC55" s="246"/>
      <c r="AD55" s="246"/>
      <c r="AE55" s="246"/>
      <c r="AF55" s="246"/>
      <c r="AG55" s="246"/>
      <c r="AH55" s="246"/>
      <c r="AI55" s="246"/>
      <c r="AJ55" s="246"/>
      <c r="AK55" s="246"/>
    </row>
    <row r="56" spans="1:37" hidden="1" outlineLevel="1">
      <c r="A56" s="339" t="s">
        <v>384</v>
      </c>
      <c r="B56" s="339"/>
      <c r="C56" s="339"/>
      <c r="D56" s="229" t="s">
        <v>444</v>
      </c>
      <c r="E56" s="229" t="str">
        <f t="shared" si="69"/>
        <v/>
      </c>
      <c r="F56" s="246"/>
      <c r="G56" s="246"/>
      <c r="H56" s="246"/>
      <c r="I56" s="246"/>
      <c r="J56" s="246"/>
      <c r="K56" s="246"/>
      <c r="L56" s="246"/>
      <c r="M56" s="246"/>
      <c r="N56" s="246"/>
      <c r="O56" s="246"/>
      <c r="P56" s="246"/>
      <c r="Q56" s="246"/>
      <c r="R56" s="246"/>
      <c r="S56" s="246"/>
      <c r="T56" s="246"/>
      <c r="U56" s="246"/>
      <c r="V56" s="246"/>
      <c r="W56" s="246"/>
      <c r="X56" s="246"/>
      <c r="Y56" s="246"/>
      <c r="Z56" s="246"/>
      <c r="AA56" s="246"/>
      <c r="AB56" s="246"/>
      <c r="AC56" s="246"/>
      <c r="AD56" s="246"/>
      <c r="AE56" s="246"/>
      <c r="AF56" s="246"/>
      <c r="AG56" s="246"/>
      <c r="AH56" s="246"/>
      <c r="AI56" s="246"/>
      <c r="AJ56" s="246"/>
      <c r="AK56" s="246"/>
    </row>
    <row r="57" spans="1:37" hidden="1" outlineLevel="1">
      <c r="A57" s="339" t="s">
        <v>384</v>
      </c>
      <c r="B57" s="339" t="s">
        <v>1564</v>
      </c>
      <c r="C57" s="339" t="s">
        <v>444</v>
      </c>
      <c r="D57" s="206" t="s">
        <v>392</v>
      </c>
      <c r="E57" s="246">
        <f>IF(F57+NPV($E$1,G57:AK57)=0,"",F57+NPV($E$1,G57:AK57))</f>
        <v>896419330.91696227</v>
      </c>
      <c r="F57" s="246">
        <v>0</v>
      </c>
      <c r="G57" s="259">
        <f>'Benefits, Costs, Inv'!P16</f>
        <v>61070000</v>
      </c>
      <c r="H57" s="246">
        <f>G57*(1+$E$2)*(1-$E$3)</f>
        <v>62077226.398930706</v>
      </c>
      <c r="I57" s="246">
        <f t="shared" ref="I57:AJ59" si="70">H57*(1+$E$2)*(1-$E$3)</f>
        <v>63101064.964534134</v>
      </c>
      <c r="J57" s="246">
        <f t="shared" si="70"/>
        <v>64141789.680972978</v>
      </c>
      <c r="K57" s="246">
        <f t="shared" si="70"/>
        <v>65199679.051225759</v>
      </c>
      <c r="L57" s="246">
        <f t="shared" si="70"/>
        <v>66275016.171615534</v>
      </c>
      <c r="M57" s="246">
        <f t="shared" si="70"/>
        <v>67368088.807567894</v>
      </c>
      <c r="N57" s="246">
        <f t="shared" si="70"/>
        <v>68479189.470618352</v>
      </c>
      <c r="O57" s="246">
        <f t="shared" si="70"/>
        <v>69608615.496689811</v>
      </c>
      <c r="P57" s="246">
        <f t="shared" si="70"/>
        <v>70756669.125661209</v>
      </c>
      <c r="Q57" s="246">
        <f t="shared" si="70"/>
        <v>71923657.582248256</v>
      </c>
      <c r="R57" s="246">
        <f t="shared" si="70"/>
        <v>73109893.158218339</v>
      </c>
      <c r="S57" s="246">
        <f t="shared" si="70"/>
        <v>74315693.295961276</v>
      </c>
      <c r="T57" s="246">
        <f t="shared" si="70"/>
        <v>75541380.67343843</v>
      </c>
      <c r="U57" s="246">
        <f t="shared" si="70"/>
        <v>76787283.290532917</v>
      </c>
      <c r="V57" s="246">
        <f t="shared" si="70"/>
        <v>78053734.556823984</v>
      </c>
      <c r="W57" s="246">
        <f t="shared" si="70"/>
        <v>79341073.380808979</v>
      </c>
      <c r="X57" s="246">
        <f t="shared" si="70"/>
        <v>80649644.260596916</v>
      </c>
      <c r="Y57" s="246">
        <f t="shared" si="70"/>
        <v>81979797.376097873</v>
      </c>
      <c r="Z57" s="246">
        <f t="shared" si="70"/>
        <v>83331888.682732821</v>
      </c>
      <c r="AA57" s="246">
        <f t="shared" si="70"/>
        <v>84706280.006688997</v>
      </c>
      <c r="AB57" s="246">
        <f t="shared" si="70"/>
        <v>86103339.141746372</v>
      </c>
      <c r="AC57" s="246">
        <f t="shared" si="70"/>
        <v>87523439.947701022</v>
      </c>
      <c r="AD57" s="246">
        <f t="shared" si="70"/>
        <v>88966962.450411856</v>
      </c>
      <c r="AE57" s="246">
        <f t="shared" si="70"/>
        <v>90434292.94349736</v>
      </c>
      <c r="AF57" s="246">
        <f t="shared" si="70"/>
        <v>91925824.091709629</v>
      </c>
      <c r="AG57" s="246">
        <f t="shared" si="70"/>
        <v>93441955.03601338</v>
      </c>
      <c r="AH57" s="246">
        <f t="shared" si="70"/>
        <v>94983091.500397995</v>
      </c>
      <c r="AI57" s="246">
        <f t="shared" si="70"/>
        <v>96549645.900451228</v>
      </c>
      <c r="AJ57" s="246">
        <f t="shared" si="70"/>
        <v>98142037.453723639</v>
      </c>
      <c r="AK57" s="246"/>
    </row>
    <row r="58" spans="1:37" hidden="1" outlineLevel="1">
      <c r="A58" s="339" t="s">
        <v>384</v>
      </c>
      <c r="B58" s="339" t="s">
        <v>1564</v>
      </c>
      <c r="C58" s="339" t="s">
        <v>444</v>
      </c>
      <c r="D58" s="206" t="s">
        <v>394</v>
      </c>
      <c r="E58" s="246">
        <f>IF(F58+NPV($E$1,G58:AK58)=0,"",F58+NPV($E$1,G58:AK58))</f>
        <v>50053871.26947502</v>
      </c>
      <c r="F58" s="246">
        <v>0</v>
      </c>
      <c r="G58" s="259">
        <f>'Benefits, Costs, Inv'!P17</f>
        <v>3410000</v>
      </c>
      <c r="H58" s="246">
        <f>G58*(1+$E$2)*(1-$E$3)</f>
        <v>3466241.0679605976</v>
      </c>
      <c r="I58" s="246">
        <f t="shared" si="70"/>
        <v>3523409.7188318549</v>
      </c>
      <c r="J58" s="246">
        <f t="shared" si="70"/>
        <v>3581521.2512218407</v>
      </c>
      <c r="K58" s="246">
        <f t="shared" si="70"/>
        <v>3640591.2160582901</v>
      </c>
      <c r="L58" s="246">
        <f t="shared" si="70"/>
        <v>3700635.4207501053</v>
      </c>
      <c r="M58" s="246">
        <f t="shared" si="70"/>
        <v>3761669.9334174958</v>
      </c>
      <c r="N58" s="246">
        <f t="shared" si="70"/>
        <v>3823711.0871918858</v>
      </c>
      <c r="O58" s="246">
        <f t="shared" si="70"/>
        <v>3886775.4845867394</v>
      </c>
      <c r="P58" s="246">
        <f t="shared" si="70"/>
        <v>3950880.0019404721</v>
      </c>
      <c r="Q58" s="246">
        <f t="shared" si="70"/>
        <v>4016041.7939326423</v>
      </c>
      <c r="R58" s="246">
        <f t="shared" si="70"/>
        <v>4082278.2981746267</v>
      </c>
      <c r="S58" s="246">
        <f t="shared" si="70"/>
        <v>4149607.2398760086</v>
      </c>
      <c r="T58" s="246">
        <f t="shared" si="70"/>
        <v>4218046.6365879308</v>
      </c>
      <c r="U58" s="246">
        <f t="shared" si="70"/>
        <v>4287614.8030246794</v>
      </c>
      <c r="V58" s="246">
        <f t="shared" si="70"/>
        <v>4358330.3559647892</v>
      </c>
      <c r="W58" s="246">
        <f t="shared" si="70"/>
        <v>4430212.2192329857</v>
      </c>
      <c r="X58" s="246">
        <f t="shared" si="70"/>
        <v>4503279.6287642922</v>
      </c>
      <c r="Y58" s="246">
        <f t="shared" si="70"/>
        <v>4577552.1377516557</v>
      </c>
      <c r="Z58" s="246">
        <f t="shared" si="70"/>
        <v>4653049.6218784796</v>
      </c>
      <c r="AA58" s="246">
        <f t="shared" si="70"/>
        <v>4729792.284637453</v>
      </c>
      <c r="AB58" s="246">
        <f t="shared" si="70"/>
        <v>4807800.6627371032</v>
      </c>
      <c r="AC58" s="246">
        <f t="shared" si="70"/>
        <v>4887095.6315975152</v>
      </c>
      <c r="AD58" s="246">
        <f t="shared" si="70"/>
        <v>4967698.4109366992</v>
      </c>
      <c r="AE58" s="246">
        <f t="shared" si="70"/>
        <v>5049630.5704490878</v>
      </c>
      <c r="AF58" s="246">
        <f t="shared" si="70"/>
        <v>5132914.0355776912</v>
      </c>
      <c r="AG58" s="246">
        <f t="shared" si="70"/>
        <v>5217571.0933814542</v>
      </c>
      <c r="AH58" s="246">
        <f t="shared" si="70"/>
        <v>5303624.3984993771</v>
      </c>
      <c r="AI58" s="246">
        <f t="shared" si="70"/>
        <v>5391096.9792130096</v>
      </c>
      <c r="AJ58" s="246">
        <f t="shared" si="70"/>
        <v>5480012.2436089311</v>
      </c>
      <c r="AK58" s="246"/>
    </row>
    <row r="59" spans="1:37" hidden="1" outlineLevel="1">
      <c r="A59" s="339" t="s">
        <v>384</v>
      </c>
      <c r="B59" s="339" t="s">
        <v>1564</v>
      </c>
      <c r="C59" s="339" t="s">
        <v>444</v>
      </c>
      <c r="D59" s="206" t="s">
        <v>396</v>
      </c>
      <c r="E59" s="246">
        <f>IF(F59+NPV($E$1,G59:AK59)=0,"",F59+NPV($E$1,G59:AK59))</f>
        <v>107419271.50793013</v>
      </c>
      <c r="F59" s="246">
        <v>0</v>
      </c>
      <c r="G59" s="259">
        <f>'Benefits, Costs, Inv'!P19</f>
        <v>5580000</v>
      </c>
      <c r="H59" s="246">
        <f>G59*(1+$E$2)*(1-$E$3)</f>
        <v>5672030.8384809783</v>
      </c>
      <c r="I59" s="246">
        <f t="shared" si="70"/>
        <v>5765579.5399066713</v>
      </c>
      <c r="J59" s="246">
        <f t="shared" si="70"/>
        <v>5860671.138363013</v>
      </c>
      <c r="K59" s="246">
        <f t="shared" si="70"/>
        <v>5957331.0808226578</v>
      </c>
      <c r="L59" s="246">
        <f t="shared" si="70"/>
        <v>6055585.2339547193</v>
      </c>
      <c r="M59" s="246">
        <f t="shared" si="70"/>
        <v>6155459.8910468128</v>
      </c>
      <c r="N59" s="246">
        <f t="shared" si="70"/>
        <v>6256981.7790412698</v>
      </c>
      <c r="O59" s="246">
        <f t="shared" si="70"/>
        <v>6360178.0656873938</v>
      </c>
      <c r="P59" s="246">
        <f t="shared" si="70"/>
        <v>6465076.3668116834</v>
      </c>
      <c r="Q59" s="246">
        <f t="shared" si="70"/>
        <v>6571704.7537079621</v>
      </c>
      <c r="R59" s="246">
        <f t="shared" si="70"/>
        <v>6680091.7606493914</v>
      </c>
      <c r="S59" s="246">
        <f t="shared" si="70"/>
        <v>6790266.3925243802</v>
      </c>
      <c r="T59" s="246">
        <f t="shared" si="70"/>
        <v>6902258.1325984355</v>
      </c>
      <c r="U59" s="246">
        <f t="shared" si="70"/>
        <v>7016096.9504040238</v>
      </c>
      <c r="V59" s="246">
        <f t="shared" si="70"/>
        <v>7131813.3097605677</v>
      </c>
      <c r="W59" s="246">
        <f t="shared" si="70"/>
        <v>7249438.1769267088</v>
      </c>
      <c r="X59" s="246">
        <f t="shared" si="70"/>
        <v>7369003.0288870279</v>
      </c>
      <c r="Y59" s="246">
        <f t="shared" si="70"/>
        <v>7490539.8617754402</v>
      </c>
      <c r="Z59" s="246">
        <f t="shared" si="70"/>
        <v>7614081.1994375167</v>
      </c>
      <c r="AA59" s="246">
        <f t="shared" si="70"/>
        <v>7739660.1021340201</v>
      </c>
      <c r="AB59" s="246">
        <f t="shared" si="70"/>
        <v>7867310.1753879925</v>
      </c>
      <c r="AC59" s="246">
        <f t="shared" si="70"/>
        <v>7997065.5789777571</v>
      </c>
      <c r="AD59" s="246">
        <f t="shared" si="70"/>
        <v>8128961.0360782398</v>
      </c>
      <c r="AE59" s="246">
        <f t="shared" si="70"/>
        <v>8263031.8425530568</v>
      </c>
      <c r="AF59" s="246">
        <f t="shared" si="70"/>
        <v>8399313.8763998635</v>
      </c>
      <c r="AG59" s="246">
        <f t="shared" si="70"/>
        <v>8537843.6073514745</v>
      </c>
      <c r="AH59" s="246">
        <f t="shared" si="70"/>
        <v>8678658.106635347</v>
      </c>
      <c r="AI59" s="246">
        <f t="shared" si="70"/>
        <v>8821795.0568940192</v>
      </c>
      <c r="AJ59" s="246">
        <f t="shared" si="70"/>
        <v>8967292.7622691635</v>
      </c>
      <c r="AK59" s="246">
        <f>(AJ59*(1+$E$2)^2)/($E$1-$E$2)</f>
        <v>207805749.74819177</v>
      </c>
    </row>
    <row r="60" spans="1:37" hidden="1" outlineLevel="1">
      <c r="A60" s="339" t="s">
        <v>384</v>
      </c>
      <c r="B60" s="339"/>
      <c r="C60" s="339"/>
      <c r="D60" s="206"/>
      <c r="E60" s="206" t="str">
        <f t="shared" si="69"/>
        <v/>
      </c>
      <c r="F60" s="246"/>
      <c r="G60" s="246"/>
      <c r="H60" s="246"/>
      <c r="I60" s="246"/>
      <c r="J60" s="246"/>
      <c r="K60" s="246"/>
      <c r="L60" s="246"/>
      <c r="M60" s="246"/>
      <c r="N60" s="246"/>
      <c r="O60" s="246"/>
      <c r="P60" s="246"/>
      <c r="Q60" s="246"/>
      <c r="R60" s="246"/>
      <c r="S60" s="246"/>
      <c r="T60" s="246"/>
      <c r="U60" s="246"/>
      <c r="V60" s="246"/>
      <c r="W60" s="246"/>
      <c r="X60" s="246"/>
      <c r="Y60" s="246"/>
      <c r="Z60" s="246"/>
      <c r="AA60" s="246"/>
      <c r="AB60" s="246"/>
      <c r="AC60" s="246"/>
      <c r="AD60" s="246"/>
      <c r="AE60" s="246"/>
      <c r="AF60" s="246"/>
      <c r="AG60" s="246"/>
      <c r="AH60" s="246"/>
      <c r="AI60" s="246"/>
      <c r="AJ60" s="246"/>
      <c r="AK60" s="246"/>
    </row>
    <row r="61" spans="1:37" s="218" customFormat="1" hidden="1" outlineLevel="1">
      <c r="A61" s="339" t="s">
        <v>384</v>
      </c>
      <c r="B61" s="339"/>
      <c r="C61" s="339"/>
      <c r="D61" s="328" t="s">
        <v>445</v>
      </c>
      <c r="E61" s="285" t="str">
        <f t="shared" si="69"/>
        <v/>
      </c>
      <c r="F61" s="286"/>
      <c r="G61" s="286"/>
      <c r="H61" s="286"/>
      <c r="I61" s="286"/>
      <c r="J61" s="286"/>
      <c r="K61" s="286"/>
      <c r="L61" s="286"/>
      <c r="M61" s="286"/>
      <c r="N61" s="286"/>
      <c r="O61" s="286"/>
      <c r="P61" s="286"/>
      <c r="Q61" s="286"/>
      <c r="R61" s="286"/>
      <c r="S61" s="286"/>
      <c r="T61" s="286"/>
      <c r="U61" s="286"/>
      <c r="V61" s="286"/>
      <c r="W61" s="286"/>
      <c r="X61" s="286"/>
      <c r="Y61" s="286"/>
      <c r="Z61" s="286"/>
      <c r="AA61" s="286"/>
      <c r="AB61" s="286"/>
      <c r="AC61" s="286"/>
      <c r="AD61" s="286"/>
      <c r="AE61" s="286"/>
      <c r="AF61" s="286"/>
      <c r="AG61" s="286"/>
      <c r="AH61" s="286"/>
      <c r="AI61" s="286"/>
      <c r="AJ61" s="286"/>
      <c r="AK61" s="286"/>
    </row>
    <row r="62" spans="1:37" s="218" customFormat="1" hidden="1" outlineLevel="1">
      <c r="A62" s="339" t="s">
        <v>384</v>
      </c>
      <c r="B62" s="339" t="s">
        <v>1564</v>
      </c>
      <c r="C62" s="339" t="s">
        <v>445</v>
      </c>
      <c r="D62" s="325" t="s">
        <v>386</v>
      </c>
      <c r="E62" s="326">
        <f>IF(F62+NPV($E$1,G62:AK62)=0,"",F62+NPV($E$1,G62:AK62))</f>
        <v>-52815986.502693288</v>
      </c>
      <c r="F62" s="326">
        <v>0</v>
      </c>
      <c r="G62" s="327">
        <f>-'Benefits, Costs, Inv'!P11</f>
        <v>-3598173.5159817347</v>
      </c>
      <c r="H62" s="326">
        <f t="shared" ref="H62:I64" si="71">G62*(1+$E$2)*(1-$E$3)</f>
        <v>-3657518.1263179085</v>
      </c>
      <c r="I62" s="326">
        <f t="shared" si="71"/>
        <v>-3717841.506232678</v>
      </c>
      <c r="J62" s="326">
        <f t="shared" ref="J62" si="72">I62*(1+$E$2)*(1-$E$3)</f>
        <v>-3779159.7985548959</v>
      </c>
      <c r="K62" s="326">
        <f t="shared" ref="K62:AJ62" si="73">J62*(1+$E$2)*(1-$E$3)</f>
        <v>-3841489.4123567976</v>
      </c>
      <c r="L62" s="326">
        <f t="shared" si="73"/>
        <v>-3904847.0273451479</v>
      </c>
      <c r="M62" s="326">
        <f t="shared" si="73"/>
        <v>-3969249.5983248125</v>
      </c>
      <c r="N62" s="326">
        <f t="shared" si="73"/>
        <v>-4034714.3597359448</v>
      </c>
      <c r="O62" s="326">
        <f t="shared" si="73"/>
        <v>-4101258.8302660058</v>
      </c>
      <c r="P62" s="326">
        <f t="shared" si="73"/>
        <v>-4168900.8175378512</v>
      </c>
      <c r="Q62" s="326">
        <f t="shared" si="73"/>
        <v>-4237658.4228751352</v>
      </c>
      <c r="R62" s="326">
        <f t="shared" si="73"/>
        <v>-4307550.0461463146</v>
      </c>
      <c r="S62" s="326">
        <f t="shared" si="73"/>
        <v>-4378594.3906885413</v>
      </c>
      <c r="T62" s="326">
        <f t="shared" si="73"/>
        <v>-4450810.4683127664</v>
      </c>
      <c r="U62" s="326">
        <f t="shared" si="73"/>
        <v>-4524217.6043913933</v>
      </c>
      <c r="V62" s="326">
        <f t="shared" si="73"/>
        <v>-4598835.4430298414</v>
      </c>
      <c r="W62" s="326">
        <f t="shared" si="73"/>
        <v>-4674683.9523234032</v>
      </c>
      <c r="X62" s="326">
        <f t="shared" si="73"/>
        <v>-4751783.4297008039</v>
      </c>
      <c r="Y62" s="326">
        <f t="shared" si="73"/>
        <v>-4830154.5073558902</v>
      </c>
      <c r="Z62" s="326">
        <f t="shared" si="73"/>
        <v>-4909818.157768908</v>
      </c>
      <c r="AA62" s="326">
        <f t="shared" si="73"/>
        <v>-4990795.6993188364</v>
      </c>
      <c r="AB62" s="326">
        <f t="shared" si="73"/>
        <v>-5073108.8019882934</v>
      </c>
      <c r="AC62" s="326">
        <f t="shared" si="73"/>
        <v>-5156779.4931625249</v>
      </c>
      <c r="AD62" s="326">
        <f t="shared" si="73"/>
        <v>-5241830.163524041</v>
      </c>
      <c r="AE62" s="326">
        <f t="shared" si="73"/>
        <v>-5328283.5730444714</v>
      </c>
      <c r="AF62" s="326">
        <f t="shared" si="73"/>
        <v>-5416162.8570752433</v>
      </c>
      <c r="AG62" s="326">
        <f t="shared" si="73"/>
        <v>-5505491.532538713</v>
      </c>
      <c r="AH62" s="326">
        <f t="shared" si="73"/>
        <v>-5596293.5042214124</v>
      </c>
      <c r="AI62" s="326">
        <f t="shared" si="73"/>
        <v>-5688593.0711710807</v>
      </c>
      <c r="AJ62" s="326">
        <f t="shared" si="73"/>
        <v>-5782414.9331992092</v>
      </c>
      <c r="AK62" s="326"/>
    </row>
    <row r="63" spans="1:37" s="218" customFormat="1" hidden="1" outlineLevel="1">
      <c r="A63" s="339" t="s">
        <v>384</v>
      </c>
      <c r="B63" s="339" t="s">
        <v>1564</v>
      </c>
      <c r="C63" s="339" t="s">
        <v>445</v>
      </c>
      <c r="D63" s="325" t="s">
        <v>389</v>
      </c>
      <c r="E63" s="326">
        <f>IF(F63+NPV($E$1,G63:AK63)=0,"",F63+NPV($E$1,G63:AK63))</f>
        <v>-2949115.9976123157</v>
      </c>
      <c r="F63" s="326">
        <v>0</v>
      </c>
      <c r="G63" s="327">
        <f>-'Benefits, Costs, Inv'!P13</f>
        <v>-200913.2420091324</v>
      </c>
      <c r="H63" s="326">
        <f t="shared" si="71"/>
        <v>-204226.90045429947</v>
      </c>
      <c r="I63" s="326">
        <f t="shared" si="71"/>
        <v>-207595.21100791602</v>
      </c>
      <c r="J63" s="326">
        <f t="shared" ref="J63" si="74">I63*(1+$E$2)*(1-$E$3)</f>
        <v>-211019.07504621244</v>
      </c>
      <c r="K63" s="326">
        <f t="shared" ref="K63:AJ63" si="75">J63*(1+$E$2)*(1-$E$3)</f>
        <v>-214499.40881180088</v>
      </c>
      <c r="L63" s="326">
        <f t="shared" si="75"/>
        <v>-218037.14365886615</v>
      </c>
      <c r="M63" s="326">
        <f t="shared" si="75"/>
        <v>-221633.22630240073</v>
      </c>
      <c r="N63" s="326">
        <f t="shared" si="75"/>
        <v>-225288.61907155026</v>
      </c>
      <c r="O63" s="326">
        <f t="shared" si="75"/>
        <v>-229004.30016713744</v>
      </c>
      <c r="P63" s="326">
        <f t="shared" si="75"/>
        <v>-232781.26392343335</v>
      </c>
      <c r="Q63" s="326">
        <f t="shared" si="75"/>
        <v>-236620.52107424615</v>
      </c>
      <c r="R63" s="326">
        <f t="shared" si="75"/>
        <v>-240523.09902339827</v>
      </c>
      <c r="S63" s="326">
        <f t="shared" si="75"/>
        <v>-244490.04211966469</v>
      </c>
      <c r="T63" s="326">
        <f t="shared" si="75"/>
        <v>-248522.41193624577</v>
      </c>
      <c r="U63" s="326">
        <f t="shared" si="75"/>
        <v>-252621.28755484932</v>
      </c>
      <c r="V63" s="326">
        <f t="shared" si="75"/>
        <v>-256787.76585445809</v>
      </c>
      <c r="W63" s="326">
        <f t="shared" si="75"/>
        <v>-261022.96180486007</v>
      </c>
      <c r="X63" s="326">
        <f t="shared" si="75"/>
        <v>-265328.00876501948</v>
      </c>
      <c r="Y63" s="326">
        <f t="shared" si="75"/>
        <v>-269704.05878636951</v>
      </c>
      <c r="Z63" s="326">
        <f t="shared" si="75"/>
        <v>-274152.28292110655</v>
      </c>
      <c r="AA63" s="326">
        <f t="shared" si="75"/>
        <v>-278673.8715355696</v>
      </c>
      <c r="AB63" s="326">
        <f t="shared" si="75"/>
        <v>-283270.03462878807</v>
      </c>
      <c r="AC63" s="326">
        <f t="shared" si="75"/>
        <v>-287942.00215628324</v>
      </c>
      <c r="AD63" s="326">
        <f t="shared" si="75"/>
        <v>-292691.02435921057</v>
      </c>
      <c r="AE63" s="326">
        <f t="shared" si="75"/>
        <v>-297518.37209893001</v>
      </c>
      <c r="AF63" s="326">
        <f t="shared" si="75"/>
        <v>-302425.33719709486</v>
      </c>
      <c r="AG63" s="326">
        <f t="shared" si="75"/>
        <v>-307413.23278134956</v>
      </c>
      <c r="AH63" s="326">
        <f t="shared" si="75"/>
        <v>-312483.39363672875</v>
      </c>
      <c r="AI63" s="326">
        <f t="shared" si="75"/>
        <v>-317637.17656285234</v>
      </c>
      <c r="AJ63" s="326">
        <f t="shared" si="75"/>
        <v>-322875.9607370118</v>
      </c>
      <c r="AK63" s="326"/>
    </row>
    <row r="64" spans="1:37" s="218" customFormat="1" hidden="1" outlineLevel="1">
      <c r="A64" s="339" t="s">
        <v>384</v>
      </c>
      <c r="B64" s="339" t="s">
        <v>1564</v>
      </c>
      <c r="C64" s="339" t="s">
        <v>445</v>
      </c>
      <c r="D64" s="325" t="s">
        <v>391</v>
      </c>
      <c r="E64" s="326">
        <f>IF(F64+NPV($E$1,G64:AK64)=0,"",F64+NPV($E$1,G64:AK64))</f>
        <v>-7120858.159638592</v>
      </c>
      <c r="F64" s="326">
        <v>0</v>
      </c>
      <c r="G64" s="327">
        <f>-'Benefits, Costs, Inv'!P15</f>
        <v>-369900.00000000006</v>
      </c>
      <c r="H64" s="326">
        <f t="shared" si="71"/>
        <v>-376000.75397027133</v>
      </c>
      <c r="I64" s="326">
        <f t="shared" si="71"/>
        <v>-382202.127564781</v>
      </c>
      <c r="J64" s="326">
        <f t="shared" ref="J64" si="76">I64*(1+$E$2)*(1-$E$3)</f>
        <v>-388505.78030116099</v>
      </c>
      <c r="K64" s="326">
        <f t="shared" ref="K64:AJ64" si="77">J64*(1+$E$2)*(1-$E$3)</f>
        <v>-394913.39906743745</v>
      </c>
      <c r="L64" s="326">
        <f t="shared" si="77"/>
        <v>-401426.69857344986</v>
      </c>
      <c r="M64" s="326">
        <f t="shared" si="77"/>
        <v>-408047.42180971609</v>
      </c>
      <c r="N64" s="326">
        <f t="shared" si="77"/>
        <v>-414777.34051386476</v>
      </c>
      <c r="O64" s="326">
        <f t="shared" si="77"/>
        <v>-421618.25564476103</v>
      </c>
      <c r="P64" s="326">
        <f t="shared" si="77"/>
        <v>-428571.99786445184</v>
      </c>
      <c r="Q64" s="326">
        <f t="shared" si="77"/>
        <v>-435640.42802806001</v>
      </c>
      <c r="R64" s="326">
        <f t="shared" si="77"/>
        <v>-442825.43768175796</v>
      </c>
      <c r="S64" s="326">
        <f t="shared" si="77"/>
        <v>-450128.94956895482</v>
      </c>
      <c r="T64" s="326">
        <f t="shared" si="77"/>
        <v>-457552.91814483167</v>
      </c>
      <c r="U64" s="326">
        <f t="shared" si="77"/>
        <v>-465099.3300993634</v>
      </c>
      <c r="V64" s="326">
        <f t="shared" si="77"/>
        <v>-472770.20488896657</v>
      </c>
      <c r="W64" s="326">
        <f t="shared" si="77"/>
        <v>-480567.59527691558</v>
      </c>
      <c r="X64" s="326">
        <f t="shared" si="77"/>
        <v>-488493.5878826722</v>
      </c>
      <c r="Y64" s="326">
        <f t="shared" si="77"/>
        <v>-496550.30374027503</v>
      </c>
      <c r="Z64" s="326">
        <f t="shared" si="77"/>
        <v>-504739.89886593848</v>
      </c>
      <c r="AA64" s="326">
        <f t="shared" si="77"/>
        <v>-513064.56483501312</v>
      </c>
      <c r="AB64" s="326">
        <f t="shared" si="77"/>
        <v>-521526.52936846192</v>
      </c>
      <c r="AC64" s="326">
        <f t="shared" si="77"/>
        <v>-530128.05692900927</v>
      </c>
      <c r="AD64" s="326">
        <f t="shared" si="77"/>
        <v>-538871.44932712184</v>
      </c>
      <c r="AE64" s="326">
        <f t="shared" si="77"/>
        <v>-547759.04633698473</v>
      </c>
      <c r="AF64" s="326">
        <f t="shared" si="77"/>
        <v>-556793.22632263589</v>
      </c>
      <c r="AG64" s="326">
        <f t="shared" si="77"/>
        <v>-565976.40687442827</v>
      </c>
      <c r="AH64" s="326">
        <f t="shared" si="77"/>
        <v>-575311.04545598826</v>
      </c>
      <c r="AI64" s="326">
        <f t="shared" si="77"/>
        <v>-584799.6400618453</v>
      </c>
      <c r="AJ64" s="326">
        <f t="shared" si="77"/>
        <v>-594444.72988590726</v>
      </c>
      <c r="AK64" s="326">
        <f>(AJ64*(1+$E$2)^2)/($E$1-$E$2)</f>
        <v>-13775510.184920451</v>
      </c>
    </row>
    <row r="65" spans="1:37" s="218" customFormat="1" hidden="1" outlineLevel="1">
      <c r="A65" s="339" t="s">
        <v>384</v>
      </c>
      <c r="B65" s="339" t="s">
        <v>1564</v>
      </c>
      <c r="C65" s="339" t="s">
        <v>445</v>
      </c>
      <c r="D65" s="325" t="s">
        <v>1531</v>
      </c>
      <c r="E65" s="326">
        <f>IF(F65+NPV($E$1,G65:AK65)=0,"",F65+NPV($E$1,G65:AK65))</f>
        <v>-1823780.2506779626</v>
      </c>
      <c r="F65" s="326">
        <v>0</v>
      </c>
      <c r="G65" s="327">
        <f>-'Benefits, Costs, Inv'!P41</f>
        <v>-124247.94520547944</v>
      </c>
      <c r="H65" s="326">
        <f t="shared" ref="H65" si="78">G65*(1+$E$2)*(1-$E$3)</f>
        <v>-126297.16430526419</v>
      </c>
      <c r="I65" s="326">
        <f t="shared" ref="I65" si="79">H65*(1+$E$2)*(1-$E$3)</f>
        <v>-128380.18113837947</v>
      </c>
      <c r="J65" s="326">
        <f t="shared" ref="J65" si="80">I65*(1+$E$2)*(1-$E$3)</f>
        <v>-130497.55313022624</v>
      </c>
      <c r="K65" s="326">
        <f t="shared" ref="K65" si="81">J65*(1+$E$2)*(1-$E$3)</f>
        <v>-132649.8468998124</v>
      </c>
      <c r="L65" s="326">
        <f t="shared" ref="L65" si="82">K65*(1+$E$2)*(1-$E$3)</f>
        <v>-134837.63841138285</v>
      </c>
      <c r="M65" s="326">
        <f t="shared" ref="M65" si="83">L65*(1+$E$2)*(1-$E$3)</f>
        <v>-137061.51312855032</v>
      </c>
      <c r="N65" s="326">
        <f t="shared" ref="N65" si="84">M65*(1+$E$2)*(1-$E$3)</f>
        <v>-139322.06617096826</v>
      </c>
      <c r="O65" s="326">
        <f t="shared" ref="O65" si="85">N65*(1+$E$2)*(1-$E$3)</f>
        <v>-141619.90247358769</v>
      </c>
      <c r="P65" s="326">
        <f t="shared" ref="P65" si="86">O65*(1+$E$2)*(1-$E$3)</f>
        <v>-143955.63694854084</v>
      </c>
      <c r="Q65" s="326">
        <f t="shared" ref="Q65" si="87">P65*(1+$E$2)*(1-$E$3)</f>
        <v>-146329.8946496945</v>
      </c>
      <c r="R65" s="326">
        <f t="shared" ref="R65" si="88">Q65*(1+$E$2)*(1-$E$3)</f>
        <v>-148743.31093991754</v>
      </c>
      <c r="S65" s="326">
        <f t="shared" ref="S65" si="89">R65*(1+$E$2)*(1-$E$3)</f>
        <v>-151196.53166110706</v>
      </c>
      <c r="T65" s="326">
        <f t="shared" ref="T65" si="90">S65*(1+$E$2)*(1-$E$3)</f>
        <v>-153690.21330701877</v>
      </c>
      <c r="U65" s="326">
        <f t="shared" ref="U65" si="91">T65*(1+$E$2)*(1-$E$3)</f>
        <v>-156225.02319894804</v>
      </c>
      <c r="V65" s="326">
        <f t="shared" ref="V65" si="92">U65*(1+$E$2)*(1-$E$3)</f>
        <v>-158801.63966430814</v>
      </c>
      <c r="W65" s="326">
        <f t="shared" ref="W65" si="93">V65*(1+$E$2)*(1-$E$3)</f>
        <v>-161420.75221815408</v>
      </c>
      <c r="X65" s="326">
        <f t="shared" ref="X65" si="94">W65*(1+$E$2)*(1-$E$3)</f>
        <v>-164083.06174770015</v>
      </c>
      <c r="Y65" s="326">
        <f t="shared" ref="Y65" si="95">X65*(1+$E$2)*(1-$E$3)</f>
        <v>-166789.28069988059</v>
      </c>
      <c r="Z65" s="326">
        <f t="shared" ref="Z65" si="96">Y65*(1+$E$2)*(1-$E$3)</f>
        <v>-169540.13327200411</v>
      </c>
      <c r="AA65" s="326">
        <f t="shared" ref="AA65" si="97">Z65*(1+$E$2)*(1-$E$3)</f>
        <v>-172336.35560555238</v>
      </c>
      <c r="AB65" s="326">
        <f t="shared" ref="AB65" si="98">AA65*(1+$E$2)*(1-$E$3)</f>
        <v>-175178.69598317513</v>
      </c>
      <c r="AC65" s="326">
        <f t="shared" ref="AC65" si="99">AB65*(1+$E$2)*(1-$E$3)</f>
        <v>-178067.91502893428</v>
      </c>
      <c r="AD65" s="326">
        <f t="shared" ref="AD65" si="100">AC65*(1+$E$2)*(1-$E$3)</f>
        <v>-181004.78591185049</v>
      </c>
      <c r="AE65" s="326">
        <f t="shared" ref="AE65" si="101">AD65*(1+$E$2)*(1-$E$3)</f>
        <v>-183990.09455280702</v>
      </c>
      <c r="AF65" s="326">
        <f t="shared" ref="AF65" si="102">AE65*(1+$E$2)*(1-$E$3)</f>
        <v>-187024.63983486602</v>
      </c>
      <c r="AG65" s="326">
        <f t="shared" ref="AG65" si="103">AF65*(1+$E$2)*(1-$E$3)</f>
        <v>-190109.23381705343</v>
      </c>
      <c r="AH65" s="326">
        <f t="shared" ref="AH65" si="104">AG65*(1+$E$2)*(1-$E$3)</f>
        <v>-193244.70195166988</v>
      </c>
      <c r="AI65" s="326">
        <f t="shared" ref="AI65" si="105">AH65*(1+$E$2)*(1-$E$3)</f>
        <v>-196431.88330518579</v>
      </c>
      <c r="AJ65" s="326">
        <f t="shared" ref="AJ65" si="106">AI65*(1+$E$2)*(1-$E$3)</f>
        <v>-199671.63078277968</v>
      </c>
      <c r="AK65" s="326"/>
    </row>
    <row r="66" spans="1:37" s="218" customFormat="1" hidden="1" outlineLevel="1">
      <c r="A66" s="339" t="s">
        <v>384</v>
      </c>
      <c r="B66" s="339"/>
      <c r="C66" s="339"/>
      <c r="D66" s="325"/>
      <c r="E66" s="325" t="str">
        <f t="shared" si="69"/>
        <v/>
      </c>
      <c r="F66" s="326"/>
      <c r="G66" s="326"/>
      <c r="H66" s="326"/>
      <c r="I66" s="326"/>
      <c r="J66" s="326"/>
      <c r="K66" s="326"/>
      <c r="L66" s="326"/>
      <c r="M66" s="326"/>
      <c r="N66" s="326"/>
      <c r="O66" s="326"/>
      <c r="P66" s="326"/>
      <c r="Q66" s="326"/>
      <c r="R66" s="326"/>
      <c r="S66" s="326"/>
      <c r="T66" s="326"/>
      <c r="U66" s="326"/>
      <c r="V66" s="326"/>
      <c r="W66" s="326"/>
      <c r="X66" s="326"/>
      <c r="Y66" s="326"/>
      <c r="Z66" s="326"/>
      <c r="AA66" s="326"/>
      <c r="AB66" s="326"/>
      <c r="AC66" s="326"/>
      <c r="AD66" s="326"/>
      <c r="AE66" s="326"/>
      <c r="AF66" s="326"/>
      <c r="AG66" s="326"/>
      <c r="AH66" s="326"/>
      <c r="AI66" s="326"/>
      <c r="AJ66" s="326"/>
      <c r="AK66" s="326"/>
    </row>
    <row r="67" spans="1:37" s="218" customFormat="1" hidden="1" outlineLevel="1">
      <c r="A67" s="339" t="s">
        <v>384</v>
      </c>
      <c r="B67" s="339"/>
      <c r="C67" s="339"/>
      <c r="D67" s="328" t="s">
        <v>447</v>
      </c>
      <c r="E67" s="328" t="str">
        <f t="shared" si="69"/>
        <v/>
      </c>
      <c r="F67" s="326"/>
      <c r="G67" s="326"/>
      <c r="H67" s="326"/>
      <c r="I67" s="326"/>
      <c r="J67" s="326"/>
      <c r="K67" s="326"/>
      <c r="L67" s="326"/>
      <c r="M67" s="326"/>
      <c r="N67" s="326"/>
      <c r="O67" s="326"/>
      <c r="P67" s="326"/>
      <c r="Q67" s="326"/>
      <c r="R67" s="326"/>
      <c r="S67" s="326"/>
      <c r="T67" s="326"/>
      <c r="U67" s="326"/>
      <c r="V67" s="326"/>
      <c r="W67" s="326"/>
      <c r="X67" s="326"/>
      <c r="Y67" s="326"/>
      <c r="Z67" s="326"/>
      <c r="AA67" s="326"/>
      <c r="AB67" s="326"/>
      <c r="AC67" s="326"/>
      <c r="AD67" s="326"/>
      <c r="AE67" s="326"/>
      <c r="AF67" s="326"/>
      <c r="AG67" s="326"/>
      <c r="AH67" s="326"/>
      <c r="AI67" s="326"/>
      <c r="AJ67" s="326"/>
      <c r="AK67" s="326"/>
    </row>
    <row r="68" spans="1:37" s="218" customFormat="1" hidden="1" outlineLevel="1">
      <c r="A68" s="339" t="s">
        <v>384</v>
      </c>
      <c r="B68" s="339" t="s">
        <v>1564</v>
      </c>
      <c r="C68" s="339" t="s">
        <v>447</v>
      </c>
      <c r="D68" s="325" t="s">
        <v>390</v>
      </c>
      <c r="E68" s="326">
        <f t="shared" si="69"/>
        <v>-48253491.676272675</v>
      </c>
      <c r="F68" s="327">
        <f>-'Benefits, Costs, Inv'!P14</f>
        <v>-48253491.676272675</v>
      </c>
      <c r="G68" s="326">
        <v>0</v>
      </c>
      <c r="H68" s="326">
        <v>0</v>
      </c>
      <c r="I68" s="326">
        <v>0</v>
      </c>
      <c r="J68" s="326">
        <v>0</v>
      </c>
      <c r="K68" s="326">
        <v>0</v>
      </c>
      <c r="L68" s="326">
        <v>0</v>
      </c>
      <c r="M68" s="326">
        <v>0</v>
      </c>
      <c r="N68" s="326">
        <v>0</v>
      </c>
      <c r="O68" s="326">
        <v>0</v>
      </c>
      <c r="P68" s="326">
        <v>0</v>
      </c>
      <c r="Q68" s="326">
        <v>0</v>
      </c>
      <c r="R68" s="326">
        <v>0</v>
      </c>
      <c r="S68" s="326">
        <v>0</v>
      </c>
      <c r="T68" s="326">
        <v>0</v>
      </c>
      <c r="U68" s="326">
        <v>0</v>
      </c>
      <c r="V68" s="326">
        <v>0</v>
      </c>
      <c r="W68" s="326">
        <v>0</v>
      </c>
      <c r="X68" s="326">
        <v>0</v>
      </c>
      <c r="Y68" s="326">
        <v>0</v>
      </c>
      <c r="Z68" s="326">
        <v>0</v>
      </c>
      <c r="AA68" s="326">
        <v>0</v>
      </c>
      <c r="AB68" s="326">
        <v>0</v>
      </c>
      <c r="AC68" s="326">
        <v>0</v>
      </c>
      <c r="AD68" s="326">
        <v>0</v>
      </c>
      <c r="AE68" s="326">
        <v>0</v>
      </c>
      <c r="AF68" s="326">
        <v>0</v>
      </c>
      <c r="AG68" s="326">
        <v>0</v>
      </c>
      <c r="AH68" s="326">
        <v>0</v>
      </c>
      <c r="AI68" s="326">
        <v>0</v>
      </c>
      <c r="AJ68" s="326">
        <v>0</v>
      </c>
      <c r="AK68" s="326"/>
    </row>
    <row r="69" spans="1:37" s="218" customFormat="1" hidden="1" outlineLevel="1">
      <c r="A69" s="339" t="s">
        <v>384</v>
      </c>
      <c r="B69" s="339" t="s">
        <v>1564</v>
      </c>
      <c r="C69" s="339" t="s">
        <v>447</v>
      </c>
      <c r="D69" s="325" t="s">
        <v>383</v>
      </c>
      <c r="E69" s="326">
        <f t="shared" si="69"/>
        <v>-338228310.5022831</v>
      </c>
      <c r="F69" s="327">
        <f>-'Benefits, Costs, Inv'!P10</f>
        <v>-338228310.5022831</v>
      </c>
      <c r="G69" s="326">
        <v>0</v>
      </c>
      <c r="H69" s="326">
        <v>0</v>
      </c>
      <c r="I69" s="326">
        <v>0</v>
      </c>
      <c r="J69" s="326">
        <v>0</v>
      </c>
      <c r="K69" s="326">
        <v>0</v>
      </c>
      <c r="L69" s="326">
        <v>0</v>
      </c>
      <c r="M69" s="326">
        <v>0</v>
      </c>
      <c r="N69" s="326">
        <v>0</v>
      </c>
      <c r="O69" s="326">
        <v>0</v>
      </c>
      <c r="P69" s="326">
        <v>0</v>
      </c>
      <c r="Q69" s="326">
        <v>0</v>
      </c>
      <c r="R69" s="326">
        <v>0</v>
      </c>
      <c r="S69" s="326">
        <v>0</v>
      </c>
      <c r="T69" s="326">
        <v>0</v>
      </c>
      <c r="U69" s="326">
        <v>0</v>
      </c>
      <c r="V69" s="326">
        <v>0</v>
      </c>
      <c r="W69" s="326">
        <v>0</v>
      </c>
      <c r="X69" s="326">
        <v>0</v>
      </c>
      <c r="Y69" s="326">
        <v>0</v>
      </c>
      <c r="Z69" s="326">
        <v>0</v>
      </c>
      <c r="AA69" s="326">
        <v>0</v>
      </c>
      <c r="AB69" s="326">
        <v>0</v>
      </c>
      <c r="AC69" s="326">
        <v>0</v>
      </c>
      <c r="AD69" s="326">
        <v>0</v>
      </c>
      <c r="AE69" s="326">
        <v>0</v>
      </c>
      <c r="AF69" s="326">
        <v>0</v>
      </c>
      <c r="AG69" s="326">
        <v>0</v>
      </c>
      <c r="AH69" s="326">
        <v>0</v>
      </c>
      <c r="AI69" s="326">
        <v>0</v>
      </c>
      <c r="AJ69" s="326">
        <v>0</v>
      </c>
      <c r="AK69" s="326"/>
    </row>
    <row r="70" spans="1:37" s="218" customFormat="1" hidden="1" outlineLevel="1">
      <c r="A70" s="339" t="s">
        <v>384</v>
      </c>
      <c r="B70" s="339" t="s">
        <v>1564</v>
      </c>
      <c r="C70" s="339" t="s">
        <v>447</v>
      </c>
      <c r="D70" s="325" t="s">
        <v>388</v>
      </c>
      <c r="E70" s="326">
        <f t="shared" si="69"/>
        <v>-18885844.748858448</v>
      </c>
      <c r="F70" s="327">
        <f>-'Benefits, Costs, Inv'!P12</f>
        <v>-18885844.748858448</v>
      </c>
      <c r="G70" s="326">
        <v>0</v>
      </c>
      <c r="H70" s="326">
        <v>0</v>
      </c>
      <c r="I70" s="326">
        <v>0</v>
      </c>
      <c r="J70" s="326">
        <v>0</v>
      </c>
      <c r="K70" s="326">
        <v>0</v>
      </c>
      <c r="L70" s="326">
        <v>0</v>
      </c>
      <c r="M70" s="326">
        <v>0</v>
      </c>
      <c r="N70" s="326">
        <v>0</v>
      </c>
      <c r="O70" s="326">
        <v>0</v>
      </c>
      <c r="P70" s="326">
        <v>0</v>
      </c>
      <c r="Q70" s="326">
        <v>0</v>
      </c>
      <c r="R70" s="326">
        <v>0</v>
      </c>
      <c r="S70" s="326">
        <v>0</v>
      </c>
      <c r="T70" s="326">
        <v>0</v>
      </c>
      <c r="U70" s="326">
        <v>0</v>
      </c>
      <c r="V70" s="326">
        <v>0</v>
      </c>
      <c r="W70" s="326">
        <v>0</v>
      </c>
      <c r="X70" s="326">
        <v>0</v>
      </c>
      <c r="Y70" s="326">
        <v>0</v>
      </c>
      <c r="Z70" s="326">
        <v>0</v>
      </c>
      <c r="AA70" s="326">
        <v>0</v>
      </c>
      <c r="AB70" s="326">
        <v>0</v>
      </c>
      <c r="AC70" s="326">
        <v>0</v>
      </c>
      <c r="AD70" s="326">
        <v>0</v>
      </c>
      <c r="AE70" s="326">
        <v>0</v>
      </c>
      <c r="AF70" s="326">
        <v>0</v>
      </c>
      <c r="AG70" s="326">
        <v>0</v>
      </c>
      <c r="AH70" s="326">
        <v>0</v>
      </c>
      <c r="AI70" s="326">
        <v>0</v>
      </c>
      <c r="AJ70" s="326">
        <v>0</v>
      </c>
      <c r="AK70" s="326"/>
    </row>
    <row r="71" spans="1:37" s="218" customFormat="1" hidden="1" outlineLevel="1">
      <c r="A71" s="339" t="s">
        <v>384</v>
      </c>
      <c r="B71" s="339" t="s">
        <v>1564</v>
      </c>
      <c r="C71" s="339" t="s">
        <v>447</v>
      </c>
      <c r="D71" s="325" t="s">
        <v>1530</v>
      </c>
      <c r="E71" s="326">
        <f t="shared" si="69"/>
        <v>-83158637.821801633</v>
      </c>
      <c r="F71" s="327">
        <f>-'Benefits, Costs, Inv'!P40</f>
        <v>-83158637.821801633</v>
      </c>
      <c r="G71" s="326">
        <v>0</v>
      </c>
      <c r="H71" s="326">
        <v>0</v>
      </c>
      <c r="I71" s="326">
        <v>0</v>
      </c>
      <c r="J71" s="326">
        <v>0</v>
      </c>
      <c r="K71" s="326">
        <v>0</v>
      </c>
      <c r="L71" s="326">
        <v>0</v>
      </c>
      <c r="M71" s="326">
        <v>0</v>
      </c>
      <c r="N71" s="326">
        <v>0</v>
      </c>
      <c r="O71" s="326">
        <v>0</v>
      </c>
      <c r="P71" s="326">
        <v>0</v>
      </c>
      <c r="Q71" s="326">
        <v>0</v>
      </c>
      <c r="R71" s="326">
        <v>0</v>
      </c>
      <c r="S71" s="326">
        <v>0</v>
      </c>
      <c r="T71" s="326">
        <v>0</v>
      </c>
      <c r="U71" s="326">
        <v>0</v>
      </c>
      <c r="V71" s="326">
        <v>0</v>
      </c>
      <c r="W71" s="326">
        <v>0</v>
      </c>
      <c r="X71" s="326">
        <v>0</v>
      </c>
      <c r="Y71" s="326">
        <v>0</v>
      </c>
      <c r="Z71" s="326">
        <v>0</v>
      </c>
      <c r="AA71" s="326">
        <v>0</v>
      </c>
      <c r="AB71" s="326">
        <v>0</v>
      </c>
      <c r="AC71" s="326">
        <v>0</v>
      </c>
      <c r="AD71" s="326">
        <v>0</v>
      </c>
      <c r="AE71" s="326">
        <v>0</v>
      </c>
      <c r="AF71" s="326">
        <v>0</v>
      </c>
      <c r="AG71" s="326">
        <v>0</v>
      </c>
      <c r="AH71" s="326">
        <v>0</v>
      </c>
      <c r="AI71" s="326">
        <v>0</v>
      </c>
      <c r="AJ71" s="326">
        <v>0</v>
      </c>
      <c r="AK71" s="326"/>
    </row>
    <row r="72" spans="1:37" s="218" customFormat="1" hidden="1" outlineLevel="1">
      <c r="A72" s="339" t="s">
        <v>384</v>
      </c>
      <c r="B72" s="339" t="s">
        <v>1564</v>
      </c>
      <c r="C72" s="339" t="s">
        <v>447</v>
      </c>
      <c r="D72" s="325" t="s">
        <v>1533</v>
      </c>
      <c r="E72" s="326">
        <f t="shared" si="69"/>
        <v>-11805947.91</v>
      </c>
      <c r="F72" s="327">
        <f>-'Benefits, Costs, Inv'!P42</f>
        <v>-11805947.91</v>
      </c>
      <c r="G72" s="326">
        <v>0</v>
      </c>
      <c r="H72" s="326">
        <v>0</v>
      </c>
      <c r="I72" s="326">
        <v>0</v>
      </c>
      <c r="J72" s="326">
        <v>0</v>
      </c>
      <c r="K72" s="326">
        <v>0</v>
      </c>
      <c r="L72" s="326">
        <v>0</v>
      </c>
      <c r="M72" s="326">
        <v>0</v>
      </c>
      <c r="N72" s="326">
        <v>0</v>
      </c>
      <c r="O72" s="326">
        <v>0</v>
      </c>
      <c r="P72" s="326">
        <v>0</v>
      </c>
      <c r="Q72" s="326">
        <v>0</v>
      </c>
      <c r="R72" s="326">
        <v>0</v>
      </c>
      <c r="S72" s="326">
        <v>0</v>
      </c>
      <c r="T72" s="326">
        <v>0</v>
      </c>
      <c r="U72" s="326">
        <v>0</v>
      </c>
      <c r="V72" s="326">
        <v>0</v>
      </c>
      <c r="W72" s="326">
        <v>0</v>
      </c>
      <c r="X72" s="326">
        <v>0</v>
      </c>
      <c r="Y72" s="326">
        <v>0</v>
      </c>
      <c r="Z72" s="326">
        <v>0</v>
      </c>
      <c r="AA72" s="326">
        <v>0</v>
      </c>
      <c r="AB72" s="326">
        <v>0</v>
      </c>
      <c r="AC72" s="326">
        <v>0</v>
      </c>
      <c r="AD72" s="326">
        <v>0</v>
      </c>
      <c r="AE72" s="326">
        <v>0</v>
      </c>
      <c r="AF72" s="326">
        <v>0</v>
      </c>
      <c r="AG72" s="326">
        <v>0</v>
      </c>
      <c r="AH72" s="326">
        <v>0</v>
      </c>
      <c r="AI72" s="326">
        <v>0</v>
      </c>
      <c r="AJ72" s="326">
        <v>0</v>
      </c>
      <c r="AK72" s="326"/>
    </row>
    <row r="73" spans="1:37" collapsed="1">
      <c r="A73" s="339"/>
      <c r="B73" s="339"/>
      <c r="C73" s="339"/>
      <c r="E73" t="str">
        <f t="shared" si="69"/>
        <v/>
      </c>
      <c r="F73" s="243"/>
      <c r="G73" s="243"/>
      <c r="H73" s="243"/>
      <c r="I73" s="243"/>
      <c r="J73" s="243"/>
      <c r="K73" s="243"/>
      <c r="L73" s="243"/>
      <c r="M73" s="243"/>
      <c r="N73" s="243"/>
      <c r="O73" s="243"/>
      <c r="P73" s="243"/>
      <c r="Q73" s="243"/>
      <c r="R73" s="243"/>
      <c r="S73" s="243"/>
      <c r="T73" s="243"/>
      <c r="U73" s="243"/>
      <c r="V73" s="243"/>
      <c r="W73" s="243"/>
      <c r="X73" s="243"/>
      <c r="Y73" s="243"/>
      <c r="Z73" s="243"/>
      <c r="AA73" s="243"/>
      <c r="AB73" s="243"/>
      <c r="AC73" s="243"/>
      <c r="AD73" s="243"/>
      <c r="AE73" s="243"/>
      <c r="AF73" s="243"/>
      <c r="AG73" s="243"/>
      <c r="AH73" s="243"/>
      <c r="AI73" s="243"/>
      <c r="AJ73" s="243"/>
      <c r="AK73" s="243"/>
    </row>
    <row r="74" spans="1:37" ht="18.75">
      <c r="A74" s="339" t="s">
        <v>413</v>
      </c>
      <c r="B74" s="339"/>
      <c r="C74" s="339"/>
      <c r="D74" s="230" t="s">
        <v>413</v>
      </c>
      <c r="E74" s="230" t="str">
        <f t="shared" si="69"/>
        <v/>
      </c>
      <c r="F74" s="247"/>
      <c r="G74" s="247"/>
      <c r="H74" s="247"/>
      <c r="I74" s="247"/>
      <c r="J74" s="247"/>
      <c r="K74" s="247"/>
      <c r="L74" s="247"/>
      <c r="M74" s="247"/>
      <c r="N74" s="247"/>
      <c r="O74" s="247"/>
      <c r="P74" s="247"/>
      <c r="Q74" s="247"/>
      <c r="R74" s="247"/>
      <c r="S74" s="247"/>
      <c r="T74" s="247"/>
      <c r="U74" s="247"/>
      <c r="V74" s="247"/>
      <c r="W74" s="247"/>
      <c r="X74" s="247"/>
      <c r="Y74" s="247"/>
      <c r="Z74" s="247"/>
      <c r="AA74" s="247"/>
      <c r="AB74" s="247"/>
      <c r="AC74" s="247"/>
      <c r="AD74" s="247"/>
      <c r="AE74" s="247"/>
      <c r="AF74" s="247"/>
      <c r="AG74" s="247"/>
      <c r="AH74" s="247"/>
      <c r="AI74" s="247"/>
      <c r="AJ74" s="247"/>
      <c r="AK74" s="247"/>
    </row>
    <row r="75" spans="1:37" hidden="1" outlineLevel="1">
      <c r="A75" s="339" t="s">
        <v>413</v>
      </c>
      <c r="B75" s="339"/>
      <c r="C75" s="339"/>
      <c r="D75" s="231"/>
      <c r="E75" s="231" t="str">
        <f t="shared" si="69"/>
        <v/>
      </c>
      <c r="F75" s="247"/>
      <c r="G75" s="247"/>
      <c r="H75" s="247"/>
      <c r="I75" s="247"/>
      <c r="J75" s="247"/>
      <c r="K75" s="247"/>
      <c r="L75" s="247"/>
      <c r="M75" s="247"/>
      <c r="N75" s="247"/>
      <c r="O75" s="247"/>
      <c r="P75" s="247"/>
      <c r="Q75" s="247"/>
      <c r="R75" s="247"/>
      <c r="S75" s="247"/>
      <c r="T75" s="247"/>
      <c r="U75" s="247"/>
      <c r="V75" s="247"/>
      <c r="W75" s="247"/>
      <c r="X75" s="247"/>
      <c r="Y75" s="247"/>
      <c r="Z75" s="247"/>
      <c r="AA75" s="247"/>
      <c r="AB75" s="247"/>
      <c r="AC75" s="247"/>
      <c r="AD75" s="247"/>
      <c r="AE75" s="247"/>
      <c r="AF75" s="247"/>
      <c r="AG75" s="247"/>
      <c r="AH75" s="247"/>
      <c r="AI75" s="247"/>
      <c r="AJ75" s="247"/>
      <c r="AK75" s="247"/>
    </row>
    <row r="76" spans="1:37" hidden="1" outlineLevel="1">
      <c r="A76" s="339" t="s">
        <v>413</v>
      </c>
      <c r="B76" s="339"/>
      <c r="C76" s="339"/>
      <c r="D76" s="232" t="s">
        <v>444</v>
      </c>
      <c r="E76" s="232" t="str">
        <f t="shared" si="69"/>
        <v/>
      </c>
      <c r="F76" s="247"/>
      <c r="G76" s="247"/>
      <c r="H76" s="247"/>
      <c r="I76" s="247"/>
      <c r="J76" s="247"/>
      <c r="K76" s="247"/>
      <c r="L76" s="247"/>
      <c r="M76" s="247"/>
      <c r="N76" s="247"/>
      <c r="O76" s="247"/>
      <c r="P76" s="247"/>
      <c r="Q76" s="247"/>
      <c r="R76" s="247"/>
      <c r="S76" s="247"/>
      <c r="T76" s="247"/>
      <c r="U76" s="247"/>
      <c r="V76" s="247"/>
      <c r="W76" s="247"/>
      <c r="X76" s="247"/>
      <c r="Y76" s="247"/>
      <c r="Z76" s="247"/>
      <c r="AA76" s="247"/>
      <c r="AB76" s="247"/>
      <c r="AC76" s="247"/>
      <c r="AD76" s="247"/>
      <c r="AE76" s="247"/>
      <c r="AF76" s="247"/>
      <c r="AG76" s="247"/>
      <c r="AH76" s="247"/>
      <c r="AI76" s="247"/>
      <c r="AJ76" s="247"/>
      <c r="AK76" s="247"/>
    </row>
    <row r="77" spans="1:37" hidden="1" outlineLevel="1">
      <c r="A77" s="339" t="s">
        <v>413</v>
      </c>
      <c r="B77" s="339" t="s">
        <v>400</v>
      </c>
      <c r="C77" s="339" t="s">
        <v>444</v>
      </c>
      <c r="D77" s="231" t="s">
        <v>412</v>
      </c>
      <c r="E77" s="247">
        <f t="shared" si="69"/>
        <v>656771239.27636588</v>
      </c>
      <c r="F77" s="247">
        <v>0</v>
      </c>
      <c r="G77" s="247">
        <v>0</v>
      </c>
      <c r="H77" s="247">
        <v>0</v>
      </c>
      <c r="I77" s="247">
        <v>0</v>
      </c>
      <c r="J77" s="247">
        <v>0</v>
      </c>
      <c r="K77" s="260">
        <f>'Benefits, Costs, Inv'!P26</f>
        <v>39550368</v>
      </c>
      <c r="L77" s="247">
        <f>K77*(1+$E$2)</f>
        <v>40526886.592610285</v>
      </c>
      <c r="M77" s="247">
        <f t="shared" ref="M77:AJ77" si="107">L77*(1+$E$2)</f>
        <v>41527515.923247419</v>
      </c>
      <c r="N77" s="247">
        <f t="shared" si="107"/>
        <v>42552851.298229784</v>
      </c>
      <c r="O77" s="247">
        <f t="shared" si="107"/>
        <v>43603502.722289905</v>
      </c>
      <c r="P77" s="247">
        <f t="shared" si="107"/>
        <v>44680095.261485726</v>
      </c>
      <c r="Q77" s="247">
        <f t="shared" si="107"/>
        <v>45783269.415072344</v>
      </c>
      <c r="R77" s="247">
        <f t="shared" si="107"/>
        <v>46913681.496555477</v>
      </c>
      <c r="S77" s="247">
        <f t="shared" si="107"/>
        <v>48072004.024153285</v>
      </c>
      <c r="T77" s="247">
        <f t="shared" si="107"/>
        <v>49258926.120898932</v>
      </c>
      <c r="U77" s="247">
        <f t="shared" si="107"/>
        <v>50475153.924621873</v>
      </c>
      <c r="V77" s="247">
        <f t="shared" si="107"/>
        <v>51721411.008051768</v>
      </c>
      <c r="W77" s="247">
        <f t="shared" si="107"/>
        <v>52998438.809294999</v>
      </c>
      <c r="X77" s="247">
        <f t="shared" si="107"/>
        <v>54306997.07293985</v>
      </c>
      <c r="Y77" s="247">
        <f t="shared" si="107"/>
        <v>55647864.302052811</v>
      </c>
      <c r="Z77" s="247">
        <f t="shared" si="107"/>
        <v>57021838.22133489</v>
      </c>
      <c r="AA77" s="247">
        <f t="shared" si="107"/>
        <v>58429736.251713499</v>
      </c>
      <c r="AB77" s="247">
        <f t="shared" si="107"/>
        <v>59872395.996652238</v>
      </c>
      <c r="AC77" s="247">
        <f t="shared" si="107"/>
        <v>61350675.740467928</v>
      </c>
      <c r="AD77" s="247">
        <f t="shared" si="107"/>
        <v>62865454.958951347</v>
      </c>
      <c r="AE77" s="247">
        <f t="shared" si="107"/>
        <v>64417634.842595421</v>
      </c>
      <c r="AF77" s="247">
        <f t="shared" si="107"/>
        <v>66008138.832742222</v>
      </c>
      <c r="AG77" s="247">
        <f t="shared" si="107"/>
        <v>67637913.170967683</v>
      </c>
      <c r="AH77" s="247">
        <f t="shared" si="107"/>
        <v>69307927.462030917</v>
      </c>
      <c r="AI77" s="247">
        <f t="shared" si="107"/>
        <v>71019175.250722989</v>
      </c>
      <c r="AJ77" s="247">
        <f t="shared" si="107"/>
        <v>72772674.612958476</v>
      </c>
      <c r="AK77" s="247">
        <f>(AJ77*(1+$E$2)^2)/($E$1-$E$2)</f>
        <v>1686415355.2292728</v>
      </c>
    </row>
    <row r="78" spans="1:37" hidden="1" outlineLevel="1">
      <c r="A78" s="339" t="s">
        <v>413</v>
      </c>
      <c r="B78" s="339" t="s">
        <v>400</v>
      </c>
      <c r="C78" s="339" t="s">
        <v>444</v>
      </c>
      <c r="D78" s="231" t="s">
        <v>415</v>
      </c>
      <c r="E78" s="247">
        <f t="shared" si="69"/>
        <v>37837507.790092148</v>
      </c>
      <c r="F78" s="247">
        <v>0</v>
      </c>
      <c r="G78" s="247">
        <v>0</v>
      </c>
      <c r="H78" s="247">
        <v>0</v>
      </c>
      <c r="I78" s="247">
        <v>0</v>
      </c>
      <c r="J78" s="247">
        <v>0</v>
      </c>
      <c r="K78" s="260">
        <f>'Benefits, Costs, Inv'!P27</f>
        <v>2278551.9033230646</v>
      </c>
      <c r="L78" s="247">
        <f>K78*(1+$E$2)</f>
        <v>2334810.5024294625</v>
      </c>
      <c r="M78" s="247">
        <f t="shared" ref="M78:AJ78" si="108">L78*(1+$E$2)</f>
        <v>2392458.1548064044</v>
      </c>
      <c r="N78" s="247">
        <f t="shared" si="108"/>
        <v>2451529.1568817971</v>
      </c>
      <c r="O78" s="247">
        <f t="shared" si="108"/>
        <v>2512058.6518797018</v>
      </c>
      <c r="P78" s="247">
        <f t="shared" si="108"/>
        <v>2574082.6507281587</v>
      </c>
      <c r="Q78" s="247">
        <f t="shared" si="108"/>
        <v>2637638.053483238</v>
      </c>
      <c r="R78" s="247">
        <f t="shared" si="108"/>
        <v>2702762.6712820604</v>
      </c>
      <c r="S78" s="247">
        <f t="shared" si="108"/>
        <v>2769495.2488378487</v>
      </c>
      <c r="T78" s="247">
        <f t="shared" si="108"/>
        <v>2837875.4874903942</v>
      </c>
      <c r="U78" s="247">
        <f t="shared" si="108"/>
        <v>2907944.068825651</v>
      </c>
      <c r="V78" s="247">
        <f t="shared" si="108"/>
        <v>2979742.678878509</v>
      </c>
      <c r="W78" s="247">
        <f t="shared" si="108"/>
        <v>3053314.0329331472</v>
      </c>
      <c r="X78" s="247">
        <f t="shared" si="108"/>
        <v>3128701.9009357179</v>
      </c>
      <c r="Y78" s="247">
        <f t="shared" si="108"/>
        <v>3205951.1335344855</v>
      </c>
      <c r="Z78" s="247">
        <f t="shared" si="108"/>
        <v>3285107.6887629079</v>
      </c>
      <c r="AA78" s="247">
        <f t="shared" si="108"/>
        <v>3366218.6593815372</v>
      </c>
      <c r="AB78" s="247">
        <f t="shared" si="108"/>
        <v>3449332.300895005</v>
      </c>
      <c r="AC78" s="247">
        <f t="shared" si="108"/>
        <v>3534498.0602607629</v>
      </c>
      <c r="AD78" s="247">
        <f t="shared" si="108"/>
        <v>3621766.6053066552</v>
      </c>
      <c r="AE78" s="247">
        <f t="shared" si="108"/>
        <v>3711189.8548748256</v>
      </c>
      <c r="AF78" s="247">
        <f t="shared" si="108"/>
        <v>3802821.0097098937</v>
      </c>
      <c r="AG78" s="247">
        <f t="shared" si="108"/>
        <v>3896714.5841097757</v>
      </c>
      <c r="AH78" s="247">
        <f t="shared" si="108"/>
        <v>3992926.43835798</v>
      </c>
      <c r="AI78" s="247">
        <f t="shared" si="108"/>
        <v>4091513.8119566711</v>
      </c>
      <c r="AJ78" s="247">
        <f t="shared" si="108"/>
        <v>4192535.3576802774</v>
      </c>
      <c r="AK78" s="247">
        <f>(AJ78*(1+$E$2)^2)/($E$1-$E$2)</f>
        <v>97156742.446768165</v>
      </c>
    </row>
    <row r="79" spans="1:37" hidden="1" outlineLevel="1">
      <c r="A79" s="339" t="s">
        <v>413</v>
      </c>
      <c r="B79" s="339"/>
      <c r="C79" s="339" t="s">
        <v>444</v>
      </c>
      <c r="D79" s="231" t="s">
        <v>431</v>
      </c>
      <c r="E79" s="247">
        <f t="shared" si="69"/>
        <v>64969620.904657684</v>
      </c>
      <c r="F79" s="247">
        <v>0</v>
      </c>
      <c r="G79" s="247">
        <v>0</v>
      </c>
      <c r="H79" s="247">
        <v>0</v>
      </c>
      <c r="I79" s="247">
        <v>0</v>
      </c>
      <c r="J79" s="247">
        <v>0</v>
      </c>
      <c r="K79" s="260">
        <f>'Benefits, Costs, Inv'!P36</f>
        <v>3912431.3945764019</v>
      </c>
      <c r="L79" s="247">
        <f>K79*(1+$E$2)</f>
        <v>4009031.3048254298</v>
      </c>
      <c r="M79" s="247">
        <f t="shared" ref="M79:AJ79" si="109">L79*(1+$E$2)</f>
        <v>4108016.3157239049</v>
      </c>
      <c r="N79" s="247">
        <f t="shared" si="109"/>
        <v>4209445.3166133724</v>
      </c>
      <c r="O79" s="247">
        <f t="shared" si="109"/>
        <v>4313378.6508430121</v>
      </c>
      <c r="P79" s="247">
        <f t="shared" si="109"/>
        <v>4419878.151669817</v>
      </c>
      <c r="Q79" s="247">
        <f t="shared" si="109"/>
        <v>4529007.1790451761</v>
      </c>
      <c r="R79" s="247">
        <f t="shared" si="109"/>
        <v>4640830.6573097287</v>
      </c>
      <c r="S79" s="247">
        <f t="shared" si="109"/>
        <v>4755415.1138189258</v>
      </c>
      <c r="T79" s="247">
        <f t="shared" si="109"/>
        <v>4872828.7185222786</v>
      </c>
      <c r="U79" s="247">
        <f t="shared" si="109"/>
        <v>4993141.3245198345</v>
      </c>
      <c r="V79" s="247">
        <f t="shared" si="109"/>
        <v>5116424.5096200174</v>
      </c>
      <c r="W79" s="247">
        <f t="shared" si="109"/>
        <v>5242751.6189235486</v>
      </c>
      <c r="X79" s="247">
        <f t="shared" si="109"/>
        <v>5372197.8084587893</v>
      </c>
      <c r="Y79" s="247">
        <f t="shared" si="109"/>
        <v>5504840.0898944568</v>
      </c>
      <c r="Z79" s="247">
        <f t="shared" si="109"/>
        <v>5640757.376356327</v>
      </c>
      <c r="AA79" s="247">
        <f t="shared" si="109"/>
        <v>5780030.5293751694</v>
      </c>
      <c r="AB79" s="247">
        <f t="shared" si="109"/>
        <v>5922742.4069938529</v>
      </c>
      <c r="AC79" s="247">
        <f t="shared" si="109"/>
        <v>6068977.9130622381</v>
      </c>
      <c r="AD79" s="247">
        <f t="shared" si="109"/>
        <v>6218824.0477491878</v>
      </c>
      <c r="AE79" s="247">
        <f t="shared" si="109"/>
        <v>6372369.9593017427</v>
      </c>
      <c r="AF79" s="247">
        <f t="shared" si="109"/>
        <v>6529706.9970822604</v>
      </c>
      <c r="AG79" s="247">
        <f t="shared" si="109"/>
        <v>6690928.7659150632</v>
      </c>
      <c r="AH79" s="247">
        <f t="shared" si="109"/>
        <v>6856131.1817749366</v>
      </c>
      <c r="AI79" s="247">
        <f t="shared" si="109"/>
        <v>7025412.5288506029</v>
      </c>
      <c r="AJ79" s="247">
        <f t="shared" si="109"/>
        <v>7198873.5180171216</v>
      </c>
      <c r="AK79" s="247">
        <f>(AJ79*(1+$E$2)^2)/($E$1-$E$2)</f>
        <v>166824854.32486293</v>
      </c>
    </row>
    <row r="80" spans="1:37" hidden="1" outlineLevel="1">
      <c r="A80" s="339" t="s">
        <v>413</v>
      </c>
      <c r="B80" s="339" t="s">
        <v>400</v>
      </c>
      <c r="C80" s="339" t="s">
        <v>444</v>
      </c>
      <c r="D80" s="231" t="s">
        <v>435</v>
      </c>
      <c r="E80" s="247">
        <f t="shared" si="69"/>
        <v>457554135.72396433</v>
      </c>
      <c r="F80" s="247">
        <v>0</v>
      </c>
      <c r="G80" s="247">
        <v>0</v>
      </c>
      <c r="H80" s="247">
        <v>0</v>
      </c>
      <c r="I80" s="247">
        <v>0</v>
      </c>
      <c r="J80" s="247">
        <v>0</v>
      </c>
      <c r="K80" s="260">
        <f>'Benefits, Costs, Inv'!P38</f>
        <v>27553634.150824692</v>
      </c>
      <c r="L80" s="247">
        <f>K80*(1+$E$2)</f>
        <v>28233947.316109575</v>
      </c>
      <c r="M80" s="247">
        <f t="shared" ref="M80" si="110">L80*(1+$E$2)</f>
        <v>28931057.757584106</v>
      </c>
      <c r="N80" s="247">
        <f t="shared" ref="N80" si="111">M80*(1+$E$2)</f>
        <v>29645380.208494369</v>
      </c>
      <c r="O80" s="247">
        <f t="shared" ref="O80" si="112">N80*(1+$E$2)</f>
        <v>30377339.642060086</v>
      </c>
      <c r="P80" s="247">
        <f t="shared" ref="P80" si="113">O80*(1+$E$2)</f>
        <v>31127371.524304748</v>
      </c>
      <c r="Q80" s="247">
        <f t="shared" ref="Q80" si="114">P80*(1+$E$2)</f>
        <v>31895922.073128249</v>
      </c>
      <c r="R80" s="247">
        <f t="shared" ref="R80" si="115">Q80*(1+$E$2)</f>
        <v>32683448.523776151</v>
      </c>
      <c r="S80" s="247">
        <f t="shared" ref="S80" si="116">R80*(1+$E$2)</f>
        <v>33490419.400863528</v>
      </c>
      <c r="T80" s="247">
        <f t="shared" ref="T80" si="117">S80*(1+$E$2)</f>
        <v>34317314.797115199</v>
      </c>
      <c r="U80" s="247">
        <f t="shared" ref="U80" si="118">T80*(1+$E$2)</f>
        <v>35164626.658988215</v>
      </c>
      <c r="V80" s="247">
        <f t="shared" ref="V80" si="119">U80*(1+$E$2)</f>
        <v>36032859.079346508</v>
      </c>
      <c r="W80" s="247">
        <f t="shared" ref="W80" si="120">V80*(1+$E$2)</f>
        <v>36922528.597361818</v>
      </c>
      <c r="X80" s="247">
        <f t="shared" ref="X80" si="121">W80*(1+$E$2)</f>
        <v>37834164.505819321</v>
      </c>
      <c r="Y80" s="247">
        <f t="shared" ref="Y80" si="122">X80*(1+$E$2)</f>
        <v>38768309.166010812</v>
      </c>
      <c r="Z80" s="247">
        <f t="shared" ref="Z80" si="123">Y80*(1+$E$2)</f>
        <v>39725518.330402739</v>
      </c>
      <c r="AA80" s="247">
        <f t="shared" ref="AA80" si="124">Z80*(1+$E$2)</f>
        <v>40706361.473271064</v>
      </c>
      <c r="AB80" s="247">
        <f t="shared" ref="AB80" si="125">AA80*(1+$E$2)</f>
        <v>41711422.129499704</v>
      </c>
      <c r="AC80" s="247">
        <f t="shared" ref="AC80" si="126">AB80*(1+$E$2)</f>
        <v>42741298.241744027</v>
      </c>
      <c r="AD80" s="247">
        <f t="shared" ref="AD80" si="127">AC80*(1+$E$2)</f>
        <v>43796602.516166054</v>
      </c>
      <c r="AE80" s="247">
        <f t="shared" ref="AE80" si="128">AD80*(1+$E$2)</f>
        <v>44877962.786952876</v>
      </c>
      <c r="AF80" s="247">
        <f t="shared" ref="AF80" si="129">AE80*(1+$E$2)</f>
        <v>45986022.389835253</v>
      </c>
      <c r="AG80" s="247">
        <f t="shared" ref="AG80" si="130">AF80*(1+$E$2)</f>
        <v>47121440.544828571</v>
      </c>
      <c r="AH80" s="247">
        <f t="shared" ref="AH80" si="131">AG80*(1+$E$2)</f>
        <v>48284892.748423874</v>
      </c>
      <c r="AI80" s="247">
        <f t="shared" ref="AI80" si="132">AH80*(1+$E$2)</f>
        <v>49477071.175462261</v>
      </c>
      <c r="AJ80" s="247">
        <f t="shared" ref="AJ80" si="133">AI80*(1+$E$2)</f>
        <v>50698685.090931803</v>
      </c>
      <c r="AK80" s="247">
        <f>(AJ80*(1+$E$2)^2)/($E$1-$E$2)</f>
        <v>1174878365.8427768</v>
      </c>
    </row>
    <row r="81" spans="1:37" hidden="1" outlineLevel="1">
      <c r="A81" s="339" t="s">
        <v>413</v>
      </c>
      <c r="B81" s="339"/>
      <c r="C81" s="339"/>
      <c r="D81" s="231"/>
      <c r="E81" s="247" t="str">
        <f t="shared" ref="E81:E86" si="134">IF(F81+NPV($E$1,G81:AK81)=0,"",F81+NPV($E$1,G81:AK81))</f>
        <v/>
      </c>
      <c r="F81" s="247"/>
      <c r="G81" s="247"/>
      <c r="H81" s="247"/>
      <c r="I81" s="247"/>
      <c r="J81" s="247"/>
      <c r="K81" s="260"/>
      <c r="L81" s="247"/>
      <c r="M81" s="247"/>
      <c r="N81" s="247"/>
      <c r="O81" s="247"/>
      <c r="P81" s="247"/>
      <c r="Q81" s="247"/>
      <c r="R81" s="247"/>
      <c r="S81" s="247"/>
      <c r="T81" s="247"/>
      <c r="U81" s="247"/>
      <c r="V81" s="247"/>
      <c r="W81" s="247"/>
      <c r="X81" s="247"/>
      <c r="Y81" s="247"/>
      <c r="Z81" s="247"/>
      <c r="AA81" s="247"/>
      <c r="AB81" s="247"/>
      <c r="AC81" s="247"/>
      <c r="AD81" s="247"/>
      <c r="AE81" s="247"/>
      <c r="AF81" s="247"/>
      <c r="AG81" s="247"/>
      <c r="AH81" s="247"/>
      <c r="AI81" s="247"/>
      <c r="AJ81" s="247"/>
      <c r="AK81" s="247"/>
    </row>
    <row r="82" spans="1:37" hidden="1" outlineLevel="1">
      <c r="A82" s="339" t="s">
        <v>413</v>
      </c>
      <c r="B82" s="339"/>
      <c r="C82" s="339"/>
      <c r="D82" s="232" t="s">
        <v>445</v>
      </c>
      <c r="E82" s="232" t="str">
        <f t="shared" si="134"/>
        <v/>
      </c>
      <c r="F82" s="247"/>
      <c r="G82" s="247"/>
      <c r="H82" s="247"/>
      <c r="I82" s="247"/>
      <c r="J82" s="247"/>
      <c r="K82" s="247"/>
      <c r="L82" s="247"/>
      <c r="M82" s="247"/>
      <c r="N82" s="247"/>
      <c r="O82" s="247"/>
      <c r="P82" s="247"/>
      <c r="Q82" s="247"/>
      <c r="R82" s="247"/>
      <c r="S82" s="247"/>
      <c r="T82" s="247"/>
      <c r="U82" s="247"/>
      <c r="V82" s="247"/>
      <c r="W82" s="247"/>
      <c r="X82" s="247"/>
      <c r="Y82" s="247"/>
      <c r="Z82" s="247"/>
      <c r="AA82" s="247"/>
      <c r="AB82" s="247"/>
      <c r="AC82" s="247"/>
      <c r="AD82" s="247"/>
      <c r="AE82" s="247"/>
      <c r="AF82" s="247"/>
      <c r="AG82" s="247"/>
      <c r="AH82" s="247"/>
      <c r="AI82" s="247"/>
      <c r="AJ82" s="247"/>
      <c r="AK82" s="247"/>
    </row>
    <row r="83" spans="1:37" hidden="1" outlineLevel="1">
      <c r="A83" s="339" t="s">
        <v>413</v>
      </c>
      <c r="B83" s="339" t="s">
        <v>1564</v>
      </c>
      <c r="C83" s="339" t="s">
        <v>445</v>
      </c>
      <c r="D83" s="231" t="s">
        <v>449</v>
      </c>
      <c r="E83" s="247">
        <f t="shared" si="134"/>
        <v>-1158563577.0022039</v>
      </c>
      <c r="F83" s="247">
        <v>0</v>
      </c>
      <c r="G83" s="247">
        <v>0</v>
      </c>
      <c r="H83" s="247">
        <v>0</v>
      </c>
      <c r="I83" s="247">
        <v>0</v>
      </c>
      <c r="J83" s="247">
        <v>0</v>
      </c>
      <c r="K83" s="260">
        <f>-'Benefits, Costs, Inv'!P29</f>
        <v>-69768000.000000015</v>
      </c>
      <c r="L83" s="247">
        <f>K83*(1+$E$2)</f>
        <v>-71490607.212383837</v>
      </c>
      <c r="M83" s="247">
        <f t="shared" ref="M83:AJ83" si="135">L83*(1+$E$2)</f>
        <v>-73255746.468228221</v>
      </c>
      <c r="N83" s="247">
        <f t="shared" si="135"/>
        <v>-75064467.905201197</v>
      </c>
      <c r="O83" s="247">
        <f t="shared" si="135"/>
        <v>-76917847.589401022</v>
      </c>
      <c r="P83" s="247">
        <f t="shared" si="135"/>
        <v>-78816988.155542254</v>
      </c>
      <c r="Q83" s="247">
        <f t="shared" si="135"/>
        <v>-80763019.462948322</v>
      </c>
      <c r="R83" s="247">
        <f t="shared" si="135"/>
        <v>-82757099.267740905</v>
      </c>
      <c r="S83" s="247">
        <f t="shared" si="135"/>
        <v>-84800413.911625981</v>
      </c>
      <c r="T83" s="247">
        <f t="shared" si="135"/>
        <v>-86894179.027686357</v>
      </c>
      <c r="U83" s="247">
        <f t="shared" si="135"/>
        <v>-89039640.263600573</v>
      </c>
      <c r="V83" s="247">
        <f t="shared" si="135"/>
        <v>-91238074.022718489</v>
      </c>
      <c r="W83" s="247">
        <f t="shared" si="135"/>
        <v>-93490788.223434344</v>
      </c>
      <c r="X83" s="247">
        <f t="shared" si="135"/>
        <v>-95799123.077309132</v>
      </c>
      <c r="Y83" s="247">
        <f t="shared" si="135"/>
        <v>-98164451.886405244</v>
      </c>
      <c r="Z83" s="247">
        <f t="shared" si="135"/>
        <v>-100588181.86030769</v>
      </c>
      <c r="AA83" s="247">
        <f t="shared" si="135"/>
        <v>-103071754.95331797</v>
      </c>
      <c r="AB83" s="247">
        <f t="shared" si="135"/>
        <v>-105616648.72231869</v>
      </c>
      <c r="AC83" s="247">
        <f t="shared" si="135"/>
        <v>-108224377.20581935</v>
      </c>
      <c r="AD83" s="247">
        <f t="shared" si="135"/>
        <v>-110896491.82470611</v>
      </c>
      <c r="AE83" s="247">
        <f t="shared" si="135"/>
        <v>-113634582.30523159</v>
      </c>
      <c r="AF83" s="247">
        <f t="shared" si="135"/>
        <v>-116440277.62479377</v>
      </c>
      <c r="AG83" s="247">
        <f t="shared" si="135"/>
        <v>-119315246.98106661</v>
      </c>
      <c r="AH83" s="247">
        <f t="shared" si="135"/>
        <v>-122261200.78505902</v>
      </c>
      <c r="AI83" s="247">
        <f t="shared" si="135"/>
        <v>-125279891.67869291</v>
      </c>
      <c r="AJ83" s="247">
        <f t="shared" si="135"/>
        <v>-128373115.57750583</v>
      </c>
      <c r="AK83" s="247">
        <f>(AJ83*(1+$E$2)^2)/($E$1-$E$2)</f>
        <v>-2974885758.4241929</v>
      </c>
    </row>
    <row r="84" spans="1:37" hidden="1" outlineLevel="1">
      <c r="A84" s="339" t="s">
        <v>413</v>
      </c>
      <c r="B84" s="339"/>
      <c r="C84" s="339"/>
      <c r="D84" s="231"/>
      <c r="E84" s="231" t="str">
        <f t="shared" si="134"/>
        <v/>
      </c>
      <c r="F84" s="247"/>
      <c r="G84" s="247"/>
      <c r="H84" s="247"/>
      <c r="I84" s="247"/>
      <c r="J84" s="247"/>
      <c r="K84" s="247"/>
      <c r="L84" s="247"/>
      <c r="M84" s="247"/>
      <c r="N84" s="247"/>
      <c r="O84" s="247"/>
      <c r="P84" s="247"/>
      <c r="Q84" s="247"/>
      <c r="R84" s="247"/>
      <c r="S84" s="247"/>
      <c r="T84" s="247"/>
      <c r="U84" s="247"/>
      <c r="V84" s="247"/>
      <c r="W84" s="247"/>
      <c r="X84" s="247"/>
      <c r="Y84" s="247"/>
      <c r="Z84" s="247"/>
      <c r="AA84" s="247"/>
      <c r="AB84" s="247"/>
      <c r="AC84" s="247"/>
      <c r="AD84" s="247"/>
      <c r="AE84" s="247"/>
      <c r="AF84" s="247"/>
      <c r="AG84" s="247"/>
      <c r="AH84" s="247"/>
      <c r="AI84" s="247"/>
      <c r="AJ84" s="247"/>
      <c r="AK84" s="247"/>
    </row>
    <row r="85" spans="1:37" hidden="1" outlineLevel="1">
      <c r="A85" s="339" t="s">
        <v>413</v>
      </c>
      <c r="B85" s="339"/>
      <c r="C85" s="339"/>
      <c r="D85" s="232" t="s">
        <v>447</v>
      </c>
      <c r="E85" s="232" t="str">
        <f t="shared" si="134"/>
        <v/>
      </c>
      <c r="F85" s="247"/>
      <c r="G85" s="247"/>
      <c r="H85" s="247"/>
      <c r="I85" s="247"/>
      <c r="J85" s="247"/>
      <c r="K85" s="247"/>
      <c r="L85" s="247"/>
      <c r="M85" s="247"/>
      <c r="N85" s="247"/>
      <c r="O85" s="247"/>
      <c r="P85" s="247"/>
      <c r="Q85" s="247"/>
      <c r="R85" s="247"/>
      <c r="S85" s="247"/>
      <c r="T85" s="247"/>
      <c r="U85" s="247"/>
      <c r="V85" s="247"/>
      <c r="W85" s="247"/>
      <c r="X85" s="247"/>
      <c r="Y85" s="247"/>
      <c r="Z85" s="247"/>
      <c r="AA85" s="247"/>
      <c r="AB85" s="247"/>
      <c r="AC85" s="247"/>
      <c r="AD85" s="247"/>
      <c r="AE85" s="247"/>
      <c r="AF85" s="247"/>
      <c r="AG85" s="247"/>
      <c r="AH85" s="247"/>
      <c r="AI85" s="247"/>
      <c r="AJ85" s="247"/>
      <c r="AK85" s="247"/>
    </row>
    <row r="86" spans="1:37" hidden="1" outlineLevel="1">
      <c r="A86" s="339" t="s">
        <v>413</v>
      </c>
      <c r="B86" s="339" t="s">
        <v>1564</v>
      </c>
      <c r="C86" s="339" t="s">
        <v>447</v>
      </c>
      <c r="D86" s="231" t="s">
        <v>417</v>
      </c>
      <c r="E86" s="247">
        <f t="shared" si="134"/>
        <v>-256651858.50313962</v>
      </c>
      <c r="F86" s="260">
        <f>-'Benefits, Costs, Inv'!P28/5</f>
        <v>-58500000</v>
      </c>
      <c r="G86" s="247">
        <f>F86</f>
        <v>-58500000</v>
      </c>
      <c r="H86" s="247">
        <f>G86</f>
        <v>-58500000</v>
      </c>
      <c r="I86" s="247">
        <f>H86</f>
        <v>-58500000</v>
      </c>
      <c r="J86" s="247">
        <f>I86</f>
        <v>-58500000</v>
      </c>
      <c r="K86" s="247">
        <v>0</v>
      </c>
      <c r="L86" s="247">
        <v>0</v>
      </c>
      <c r="M86" s="247">
        <v>0</v>
      </c>
      <c r="N86" s="247">
        <v>0</v>
      </c>
      <c r="O86" s="247">
        <v>0</v>
      </c>
      <c r="P86" s="247">
        <v>0</v>
      </c>
      <c r="Q86" s="247">
        <v>0</v>
      </c>
      <c r="R86" s="247">
        <v>0</v>
      </c>
      <c r="S86" s="247">
        <v>0</v>
      </c>
      <c r="T86" s="247">
        <v>0</v>
      </c>
      <c r="U86" s="247">
        <v>0</v>
      </c>
      <c r="V86" s="247">
        <v>0</v>
      </c>
      <c r="W86" s="247">
        <v>0</v>
      </c>
      <c r="X86" s="247">
        <v>0</v>
      </c>
      <c r="Y86" s="247">
        <v>0</v>
      </c>
      <c r="Z86" s="247">
        <v>0</v>
      </c>
      <c r="AA86" s="247">
        <v>0</v>
      </c>
      <c r="AB86" s="247">
        <v>0</v>
      </c>
      <c r="AC86" s="247">
        <v>0</v>
      </c>
      <c r="AD86" s="247">
        <v>0</v>
      </c>
      <c r="AE86" s="247">
        <v>0</v>
      </c>
      <c r="AF86" s="247">
        <v>0</v>
      </c>
      <c r="AG86" s="247">
        <v>0</v>
      </c>
      <c r="AH86" s="247">
        <v>0</v>
      </c>
      <c r="AI86" s="247">
        <v>0</v>
      </c>
      <c r="AJ86" s="247">
        <v>0</v>
      </c>
      <c r="AK86" s="247"/>
    </row>
    <row r="87" spans="1:37" ht="15.75" collapsed="1" thickBot="1"/>
    <row r="88" spans="1:37" ht="17.25">
      <c r="D88" s="254" t="s">
        <v>450</v>
      </c>
      <c r="E88" s="255"/>
      <c r="F88" s="256">
        <f>SUMIF(C:C,"Benefits",E:E)</f>
        <v>3516209044.4805665</v>
      </c>
    </row>
    <row r="89" spans="1:37" ht="17.25">
      <c r="D89" s="254" t="s">
        <v>451</v>
      </c>
      <c r="E89" s="255"/>
      <c r="F89" s="258">
        <f>-SUMIF(C:C,"Costs",E:E)</f>
        <v>1273062260.8700972</v>
      </c>
    </row>
    <row r="90" spans="1:37" ht="17.25">
      <c r="D90" s="254" t="s">
        <v>452</v>
      </c>
      <c r="E90" s="255"/>
      <c r="F90" s="258">
        <f>-SUMIF(C:C,"Investments",E:E)</f>
        <v>846406138.39033794</v>
      </c>
    </row>
    <row r="91" spans="1:37" ht="18" thickBot="1">
      <c r="D91" s="254" t="s">
        <v>453</v>
      </c>
      <c r="E91" s="255"/>
      <c r="F91" s="257">
        <f>(F88-F89)/F90</f>
        <v>2.6502014598764583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
  <sheetViews>
    <sheetView workbookViewId="0">
      <selection activeCell="E36" sqref="E36"/>
    </sheetView>
  </sheetViews>
  <sheetFormatPr defaultColWidth="8.85546875" defaultRowHeight="15"/>
  <cols>
    <col min="1" max="1" width="15.7109375" bestFit="1" customWidth="1"/>
    <col min="2" max="3" width="14.85546875" bestFit="1" customWidth="1"/>
    <col min="4" max="4" width="28" customWidth="1"/>
    <col min="5" max="5" width="26.7109375" customWidth="1"/>
    <col min="6" max="6" width="22.42578125" customWidth="1"/>
    <col min="7" max="8" width="31.28515625" customWidth="1"/>
    <col min="9" max="9" width="41" customWidth="1"/>
    <col min="10" max="10" width="29.140625" customWidth="1"/>
    <col min="11" max="11" width="22.7109375" customWidth="1"/>
    <col min="16357" max="16357" width="9.140625" customWidth="1"/>
  </cols>
  <sheetData>
    <row r="1" spans="1:7" ht="18.75">
      <c r="A1" s="3" t="s">
        <v>454</v>
      </c>
    </row>
    <row r="2" spans="1:7" ht="15.75" thickBot="1"/>
    <row r="3" spans="1:7" ht="15.75" thickBot="1">
      <c r="A3" s="15" t="s">
        <v>455</v>
      </c>
      <c r="B3" s="16"/>
    </row>
    <row r="4" spans="1:7">
      <c r="A4" t="s">
        <v>456</v>
      </c>
      <c r="B4" s="4">
        <v>277000000</v>
      </c>
    </row>
    <row r="5" spans="1:7">
      <c r="A5" s="1" t="s">
        <v>457</v>
      </c>
      <c r="B5" s="4">
        <v>138650306</v>
      </c>
      <c r="D5" t="s">
        <v>1487</v>
      </c>
      <c r="E5" s="4">
        <f>B4-B5</f>
        <v>138349694</v>
      </c>
      <c r="G5" s="1"/>
    </row>
    <row r="6" spans="1:7" ht="15.75" thickBot="1">
      <c r="B6" s="4"/>
      <c r="F6" s="1"/>
      <c r="G6" s="1"/>
    </row>
    <row r="7" spans="1:7" ht="15.75" thickBot="1">
      <c r="A7" s="15" t="s">
        <v>458</v>
      </c>
      <c r="B7" s="16"/>
      <c r="D7" t="s">
        <v>1488</v>
      </c>
      <c r="F7" s="1"/>
      <c r="G7" s="1"/>
    </row>
    <row r="8" spans="1:7">
      <c r="A8" t="s">
        <v>456</v>
      </c>
      <c r="B8" s="4">
        <v>600000</v>
      </c>
      <c r="D8" s="1" t="s">
        <v>1489</v>
      </c>
      <c r="E8" s="1">
        <f>C19</f>
        <v>26000000</v>
      </c>
      <c r="F8" s="1"/>
      <c r="G8" s="1"/>
    </row>
    <row r="9" spans="1:7">
      <c r="A9" s="1" t="s">
        <v>457</v>
      </c>
      <c r="B9" s="4">
        <v>226000000</v>
      </c>
      <c r="D9" t="s">
        <v>1508</v>
      </c>
      <c r="E9" s="1">
        <f>E5-E8</f>
        <v>112349694</v>
      </c>
    </row>
    <row r="10" spans="1:7">
      <c r="A10" s="1"/>
      <c r="B10" s="4"/>
      <c r="D10" t="s">
        <v>1490</v>
      </c>
    </row>
    <row r="11" spans="1:7" ht="18.75">
      <c r="A11" s="3" t="s">
        <v>459</v>
      </c>
      <c r="D11" t="s">
        <v>1491</v>
      </c>
    </row>
    <row r="12" spans="1:7" ht="15.75" thickBot="1">
      <c r="D12" t="s">
        <v>1492</v>
      </c>
    </row>
    <row r="13" spans="1:7" ht="15.75" thickBot="1">
      <c r="A13" s="15" t="s">
        <v>458</v>
      </c>
      <c r="B13" s="16"/>
      <c r="D13" t="s">
        <v>1493</v>
      </c>
    </row>
    <row r="14" spans="1:7">
      <c r="A14" t="s">
        <v>460</v>
      </c>
    </row>
    <row r="15" spans="1:7">
      <c r="A15" t="s">
        <v>461</v>
      </c>
    </row>
    <row r="16" spans="1:7">
      <c r="A16" t="s">
        <v>462</v>
      </c>
    </row>
    <row r="17" spans="1:3" ht="15.75" thickBot="1"/>
    <row r="18" spans="1:3" ht="15.75" thickBot="1">
      <c r="A18" s="15" t="s">
        <v>455</v>
      </c>
      <c r="B18" s="16"/>
    </row>
    <row r="19" spans="1:3">
      <c r="A19" t="s">
        <v>463</v>
      </c>
      <c r="C19">
        <f>26*1000000</f>
        <v>26000000</v>
      </c>
    </row>
    <row r="20" spans="1:3" ht="15.75" thickBot="1"/>
    <row r="21" spans="1:3" ht="15.75" thickBot="1">
      <c r="A21" s="15" t="s">
        <v>1509</v>
      </c>
      <c r="B21" s="16" t="s">
        <v>138</v>
      </c>
    </row>
    <row r="22" spans="1:3" ht="60">
      <c r="A22" s="201" t="s">
        <v>1510</v>
      </c>
      <c r="B22" s="202">
        <v>30</v>
      </c>
      <c r="C22" s="202"/>
    </row>
    <row r="23" spans="1:3" ht="75">
      <c r="A23" s="201" t="s">
        <v>1511</v>
      </c>
      <c r="B23" s="202">
        <f>0.5*48+0.5*53</f>
        <v>50.5</v>
      </c>
      <c r="C23" s="202"/>
    </row>
    <row r="55" spans="1:7">
      <c r="C55" s="1"/>
      <c r="D55" s="1"/>
      <c r="E55" s="1"/>
      <c r="F55" s="1"/>
      <c r="G55" s="1"/>
    </row>
    <row r="56" spans="1:7" ht="18.75">
      <c r="A56" s="3" t="s">
        <v>464</v>
      </c>
      <c r="C56" s="1"/>
      <c r="D56" s="1"/>
      <c r="E56" s="1"/>
      <c r="F56" s="1"/>
      <c r="G56" s="1"/>
    </row>
    <row r="57" spans="1:7">
      <c r="C57" s="1"/>
      <c r="D57" s="1"/>
      <c r="E57" s="1"/>
      <c r="F57" s="1"/>
      <c r="G57" s="1"/>
    </row>
    <row r="58" spans="1:7">
      <c r="G58" s="1"/>
    </row>
    <row r="59" spans="1:7">
      <c r="G59" s="1"/>
    </row>
    <row r="60" spans="1:7" ht="18.75">
      <c r="A60" s="3" t="s">
        <v>465</v>
      </c>
      <c r="G60" s="1"/>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97853-AD8F-4768-B011-F8A5ADC8022E}">
  <dimension ref="A1:G69"/>
  <sheetViews>
    <sheetView workbookViewId="0"/>
  </sheetViews>
  <sheetFormatPr defaultColWidth="8.85546875" defaultRowHeight="15"/>
  <cols>
    <col min="1" max="1" width="26.28515625" bestFit="1" customWidth="1"/>
    <col min="2" max="2" width="13.85546875" bestFit="1" customWidth="1"/>
    <col min="3" max="3" width="18.7109375" bestFit="1" customWidth="1"/>
    <col min="4" max="4" width="13.28515625" bestFit="1" customWidth="1"/>
    <col min="5" max="5" width="17.42578125" bestFit="1" customWidth="1"/>
    <col min="6" max="6" width="11.85546875" bestFit="1" customWidth="1"/>
    <col min="7" max="7" width="23.85546875" bestFit="1" customWidth="1"/>
  </cols>
  <sheetData>
    <row r="1" spans="1:4" ht="18.75">
      <c r="A1" s="3" t="s">
        <v>466</v>
      </c>
    </row>
    <row r="2" spans="1:4" ht="15.75" thickBot="1"/>
    <row r="3" spans="1:4" ht="15.75" thickBot="1">
      <c r="A3" s="17" t="s">
        <v>467</v>
      </c>
      <c r="B3" s="18"/>
    </row>
    <row r="4" spans="1:4">
      <c r="A4" t="s">
        <v>468</v>
      </c>
      <c r="B4" s="208">
        <v>849959</v>
      </c>
      <c r="C4" s="210" t="s">
        <v>469</v>
      </c>
    </row>
    <row r="5" spans="1:4">
      <c r="A5" t="s">
        <v>470</v>
      </c>
      <c r="B5" s="208">
        <v>1500000</v>
      </c>
      <c r="C5" s="210" t="s">
        <v>469</v>
      </c>
    </row>
    <row r="6" spans="1:4">
      <c r="A6" t="s">
        <v>471</v>
      </c>
      <c r="B6" s="208">
        <v>1048987</v>
      </c>
      <c r="C6" s="210" t="s">
        <v>469</v>
      </c>
    </row>
    <row r="7" spans="1:4">
      <c r="A7" t="s">
        <v>472</v>
      </c>
      <c r="B7" s="208">
        <v>130000</v>
      </c>
      <c r="C7" s="210" t="s">
        <v>469</v>
      </c>
    </row>
    <row r="8" spans="1:4">
      <c r="A8" t="s">
        <v>473</v>
      </c>
      <c r="B8" s="208">
        <v>450000</v>
      </c>
      <c r="C8" s="210" t="s">
        <v>469</v>
      </c>
    </row>
    <row r="10" spans="1:4" ht="15.75" thickBot="1">
      <c r="B10" s="208"/>
    </row>
    <row r="11" spans="1:4" ht="15.75" thickBot="1">
      <c r="A11" s="17" t="s">
        <v>474</v>
      </c>
      <c r="B11" s="209"/>
    </row>
    <row r="12" spans="1:4">
      <c r="A12" t="s">
        <v>456</v>
      </c>
      <c r="B12" s="208">
        <v>15062</v>
      </c>
      <c r="C12" s="210" t="s">
        <v>475</v>
      </c>
    </row>
    <row r="13" spans="1:4">
      <c r="A13" t="s">
        <v>457</v>
      </c>
      <c r="B13" s="208">
        <v>100318</v>
      </c>
      <c r="C13" s="210" t="s">
        <v>475</v>
      </c>
    </row>
    <row r="14" spans="1:4" ht="15.75" thickBot="1">
      <c r="B14" s="208"/>
      <c r="D14" t="s">
        <v>385</v>
      </c>
    </row>
    <row r="15" spans="1:4" ht="15.75" thickBot="1">
      <c r="A15" s="17" t="s">
        <v>476</v>
      </c>
      <c r="B15" s="209"/>
    </row>
    <row r="16" spans="1:4">
      <c r="A16" t="s">
        <v>477</v>
      </c>
      <c r="B16" s="208">
        <v>42690</v>
      </c>
      <c r="C16" s="210" t="s">
        <v>478</v>
      </c>
    </row>
    <row r="17" spans="1:3" ht="15.75" thickBot="1">
      <c r="B17" s="208"/>
    </row>
    <row r="18" spans="1:3" ht="15.75" thickBot="1">
      <c r="A18" s="17" t="s">
        <v>479</v>
      </c>
      <c r="B18" s="209"/>
    </row>
    <row r="19" spans="1:3">
      <c r="A19" t="s">
        <v>477</v>
      </c>
      <c r="B19" s="208">
        <v>1.6</v>
      </c>
      <c r="C19" s="210" t="s">
        <v>480</v>
      </c>
    </row>
    <row r="25" spans="1:3" ht="18.75">
      <c r="A25" s="3" t="s">
        <v>459</v>
      </c>
    </row>
    <row r="62" spans="3:7">
      <c r="C62" s="1"/>
      <c r="D62" s="1"/>
      <c r="E62" s="1"/>
      <c r="F62" s="1"/>
      <c r="G62" s="1"/>
    </row>
    <row r="65" spans="1:1" ht="18.75">
      <c r="A65" s="3" t="s">
        <v>464</v>
      </c>
    </row>
    <row r="69" spans="1:1" ht="18.75">
      <c r="A69" s="3" t="s">
        <v>465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A553-D2DE-4624-BD39-2C8CE09A5484}">
  <dimension ref="A1:K63"/>
  <sheetViews>
    <sheetView workbookViewId="0"/>
  </sheetViews>
  <sheetFormatPr defaultColWidth="8.85546875" defaultRowHeight="15"/>
  <cols>
    <col min="1" max="1" width="26.28515625" bestFit="1" customWidth="1"/>
    <col min="2" max="2" width="14.85546875" bestFit="1" customWidth="1"/>
    <col min="3" max="3" width="9.85546875" bestFit="1" customWidth="1"/>
    <col min="4" max="4" width="11" bestFit="1" customWidth="1"/>
    <col min="5" max="5" width="24.140625" bestFit="1" customWidth="1"/>
  </cols>
  <sheetData>
    <row r="1" spans="1:11" ht="18.75">
      <c r="A1" s="3" t="s">
        <v>481</v>
      </c>
    </row>
    <row r="2" spans="1:11" ht="15.75" thickBot="1"/>
    <row r="3" spans="1:11" ht="15.75" thickBot="1">
      <c r="A3" s="19" t="s">
        <v>482</v>
      </c>
      <c r="B3" s="20"/>
    </row>
    <row r="4" spans="1:11">
      <c r="A4" t="s">
        <v>456</v>
      </c>
      <c r="B4">
        <v>26000</v>
      </c>
      <c r="C4" s="5" t="s">
        <v>483</v>
      </c>
      <c r="J4" s="1"/>
    </row>
    <row r="5" spans="1:11">
      <c r="A5" t="s">
        <v>457</v>
      </c>
      <c r="B5">
        <v>516000</v>
      </c>
      <c r="I5" s="2"/>
      <c r="J5" s="1"/>
      <c r="K5" s="2"/>
    </row>
    <row r="6" spans="1:11" ht="15.75" thickBot="1"/>
    <row r="7" spans="1:11" ht="15.75" thickBot="1">
      <c r="A7" s="19" t="s">
        <v>484</v>
      </c>
      <c r="B7" s="20"/>
    </row>
    <row r="8" spans="1:11">
      <c r="A8" t="s">
        <v>456</v>
      </c>
      <c r="B8">
        <v>0.68421052631578949</v>
      </c>
      <c r="C8" s="5" t="s">
        <v>483</v>
      </c>
    </row>
    <row r="9" spans="1:11">
      <c r="A9" t="s">
        <v>457</v>
      </c>
      <c r="B9">
        <v>13.578947368421053</v>
      </c>
    </row>
    <row r="11" spans="1:11" ht="18.75">
      <c r="A11" s="3" t="s">
        <v>459</v>
      </c>
    </row>
    <row r="55" spans="1:7">
      <c r="C55" s="1"/>
      <c r="D55" s="1"/>
      <c r="E55" s="1"/>
      <c r="F55" s="1"/>
      <c r="G55" s="1"/>
    </row>
    <row r="59" spans="1:7" ht="18.75">
      <c r="A59" s="3" t="s">
        <v>464</v>
      </c>
    </row>
    <row r="63" spans="1:7" ht="18.75">
      <c r="A63" s="3" t="s">
        <v>465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83C83-2F1F-4997-80BA-ABE0020E93F8}">
  <dimension ref="A1:G61"/>
  <sheetViews>
    <sheetView workbookViewId="0"/>
  </sheetViews>
  <sheetFormatPr defaultColWidth="8.85546875" defaultRowHeight="15"/>
  <cols>
    <col min="1" max="1" width="15.7109375" bestFit="1" customWidth="1"/>
    <col min="2" max="2" width="14.85546875" bestFit="1" customWidth="1"/>
    <col min="3" max="9" width="9.28515625" customWidth="1"/>
  </cols>
  <sheetData>
    <row r="1" spans="1:5" ht="18.75">
      <c r="A1" s="3" t="s">
        <v>485</v>
      </c>
    </row>
    <row r="2" spans="1:5" ht="15.75" thickBot="1"/>
    <row r="3" spans="1:5" ht="15.75" thickBot="1">
      <c r="A3" s="21" t="s">
        <v>486</v>
      </c>
      <c r="B3" s="22"/>
      <c r="C3" s="23"/>
      <c r="D3" s="23"/>
      <c r="E3" s="24"/>
    </row>
    <row r="4" spans="1:5">
      <c r="A4" s="6" t="s">
        <v>456</v>
      </c>
      <c r="B4" s="6">
        <v>30</v>
      </c>
    </row>
    <row r="5" spans="1:5" ht="15.75" thickBot="1">
      <c r="A5" s="7" t="s">
        <v>457</v>
      </c>
      <c r="B5" s="6">
        <v>11</v>
      </c>
    </row>
    <row r="6" spans="1:5" ht="15.75" thickBot="1">
      <c r="A6" s="21" t="s">
        <v>487</v>
      </c>
      <c r="B6" s="22"/>
      <c r="C6" s="23"/>
      <c r="D6" s="23"/>
      <c r="E6" s="24"/>
    </row>
    <row r="7" spans="1:5">
      <c r="A7" s="6" t="s">
        <v>456</v>
      </c>
      <c r="B7" s="6">
        <v>25</v>
      </c>
    </row>
    <row r="8" spans="1:5">
      <c r="A8" s="7" t="s">
        <v>457</v>
      </c>
      <c r="B8" s="6">
        <v>19</v>
      </c>
    </row>
    <row r="9" spans="1:5">
      <c r="A9" s="7"/>
      <c r="B9" s="8"/>
    </row>
    <row r="10" spans="1:5" ht="18.75">
      <c r="A10" s="3" t="s">
        <v>459</v>
      </c>
    </row>
    <row r="54" spans="1:7">
      <c r="C54" s="1"/>
      <c r="D54" s="1"/>
      <c r="E54" s="1"/>
      <c r="F54" s="1"/>
      <c r="G54" s="1"/>
    </row>
    <row r="57" spans="1:7" ht="18.75">
      <c r="A57" s="3" t="s">
        <v>464</v>
      </c>
    </row>
    <row r="61" spans="1:7" ht="18.75">
      <c r="A61" s="3" t="s">
        <v>465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B458-111B-4544-851E-3C4B83081A11}">
  <dimension ref="A1:G71"/>
  <sheetViews>
    <sheetView showGridLines="0" workbookViewId="0">
      <selection activeCell="D17" sqref="D17"/>
    </sheetView>
  </sheetViews>
  <sheetFormatPr defaultColWidth="8.85546875" defaultRowHeight="15"/>
  <cols>
    <col min="1" max="1" width="46.42578125" customWidth="1"/>
    <col min="2" max="2" width="12.7109375" bestFit="1" customWidth="1"/>
    <col min="3" max="3" width="8.85546875" bestFit="1" customWidth="1"/>
    <col min="4" max="4" width="26.7109375" bestFit="1" customWidth="1"/>
    <col min="5" max="5" width="14.42578125" bestFit="1" customWidth="1"/>
    <col min="6" max="6" width="22.140625" bestFit="1" customWidth="1"/>
    <col min="7" max="7" width="26.7109375" bestFit="1" customWidth="1"/>
    <col min="8" max="8" width="25" bestFit="1" customWidth="1"/>
    <col min="9" max="9" width="38.42578125" bestFit="1" customWidth="1"/>
    <col min="10" max="10" width="18.7109375" bestFit="1" customWidth="1"/>
  </cols>
  <sheetData>
    <row r="1" spans="1:3" ht="18.75">
      <c r="A1" s="3" t="s">
        <v>488</v>
      </c>
    </row>
    <row r="2" spans="1:3" ht="15.75" thickBot="1"/>
    <row r="3" spans="1:3" ht="15.75" thickBot="1">
      <c r="A3" s="25" t="s">
        <v>489</v>
      </c>
      <c r="B3" s="26"/>
    </row>
    <row r="4" spans="1:3">
      <c r="A4" s="6" t="s">
        <v>456</v>
      </c>
      <c r="B4" s="234">
        <v>664121</v>
      </c>
      <c r="C4">
        <f>B4/B12</f>
        <v>0.40007289156626508</v>
      </c>
    </row>
    <row r="5" spans="1:3">
      <c r="A5" t="s">
        <v>457</v>
      </c>
      <c r="B5" s="234">
        <v>930176</v>
      </c>
      <c r="C5">
        <f>B5/B13</f>
        <v>0.40528655091026256</v>
      </c>
    </row>
    <row r="6" spans="1:3" ht="15.75" thickBot="1">
      <c r="B6" s="234"/>
    </row>
    <row r="7" spans="1:3" ht="15.75" thickBot="1">
      <c r="A7" s="25" t="s">
        <v>490</v>
      </c>
      <c r="B7" s="235"/>
    </row>
    <row r="8" spans="1:3">
      <c r="A8" s="6" t="s">
        <v>456</v>
      </c>
      <c r="B8" s="234">
        <v>995879</v>
      </c>
      <c r="C8">
        <f>B8/B12</f>
        <v>0.59992710843373498</v>
      </c>
    </row>
    <row r="9" spans="1:3">
      <c r="A9" t="s">
        <v>457</v>
      </c>
      <c r="B9" s="234">
        <v>1364931</v>
      </c>
      <c r="C9">
        <f>B9/B13</f>
        <v>0.59471344908973744</v>
      </c>
    </row>
    <row r="10" spans="1:3" ht="15.75" thickBot="1">
      <c r="B10" s="234"/>
    </row>
    <row r="11" spans="1:3" ht="15.75" thickBot="1">
      <c r="A11" s="25" t="s">
        <v>491</v>
      </c>
      <c r="B11" s="235"/>
    </row>
    <row r="12" spans="1:3">
      <c r="A12" s="6" t="s">
        <v>456</v>
      </c>
      <c r="B12" s="234">
        <v>1660000</v>
      </c>
    </row>
    <row r="13" spans="1:3">
      <c r="A13" t="s">
        <v>457</v>
      </c>
      <c r="B13" s="234">
        <v>2295107</v>
      </c>
    </row>
    <row r="14" spans="1:3" ht="15.75" thickBot="1">
      <c r="B14" s="234"/>
    </row>
    <row r="15" spans="1:3" ht="15.75" thickBot="1">
      <c r="A15" s="25" t="s">
        <v>492</v>
      </c>
      <c r="B15" s="235"/>
    </row>
    <row r="16" spans="1:3" ht="30">
      <c r="A16" s="9" t="s">
        <v>330</v>
      </c>
      <c r="B16" s="236">
        <v>675477</v>
      </c>
    </row>
    <row r="17" spans="1:2" ht="45">
      <c r="A17" s="9" t="s">
        <v>493</v>
      </c>
      <c r="B17" s="236">
        <v>285120</v>
      </c>
    </row>
    <row r="18" spans="1:2">
      <c r="A18" t="s">
        <v>494</v>
      </c>
      <c r="B18" s="234">
        <v>1079811</v>
      </c>
    </row>
    <row r="20" spans="1:2" ht="18.75">
      <c r="A20" s="3" t="s">
        <v>459</v>
      </c>
    </row>
    <row r="64" spans="3:7">
      <c r="C64" s="1"/>
      <c r="D64" s="1"/>
      <c r="E64" s="1"/>
      <c r="F64" s="1"/>
      <c r="G64" s="1"/>
    </row>
    <row r="67" spans="1:1" ht="18.75">
      <c r="A67" s="3" t="s">
        <v>464</v>
      </c>
    </row>
    <row r="71" spans="1:1" ht="18.75">
      <c r="A71" s="3" t="s">
        <v>465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65993-1150-4E2B-8770-13F1BC9C4C4A}">
  <dimension ref="A1:G16"/>
  <sheetViews>
    <sheetView showGridLines="0" workbookViewId="0">
      <selection activeCell="D18" sqref="D18"/>
    </sheetView>
  </sheetViews>
  <sheetFormatPr defaultColWidth="8.85546875" defaultRowHeight="15"/>
  <cols>
    <col min="1" max="1" width="14.7109375" customWidth="1"/>
    <col min="2" max="2" width="11.28515625" customWidth="1"/>
    <col min="3" max="3" width="12.140625" customWidth="1"/>
    <col min="4" max="4" width="54.42578125" bestFit="1" customWidth="1"/>
    <col min="5" max="5" width="18" bestFit="1" customWidth="1"/>
    <col min="6" max="6" width="17.140625" customWidth="1"/>
    <col min="7" max="7" width="24.140625" bestFit="1" customWidth="1"/>
    <col min="8" max="8" width="8.85546875" customWidth="1"/>
  </cols>
  <sheetData>
    <row r="1" spans="1:7" ht="18.75">
      <c r="A1" s="3" t="s">
        <v>495</v>
      </c>
    </row>
    <row r="2" spans="1:7" ht="15.75" thickBot="1"/>
    <row r="3" spans="1:7" ht="15.75" thickBot="1">
      <c r="A3" s="274" t="s">
        <v>496</v>
      </c>
      <c r="B3" s="275" t="s">
        <v>1586</v>
      </c>
    </row>
    <row r="4" spans="1:7" ht="15.75" thickBot="1">
      <c r="C4" s="295" t="s">
        <v>497</v>
      </c>
      <c r="D4" s="296" t="s">
        <v>46</v>
      </c>
      <c r="E4" s="296" t="s">
        <v>498</v>
      </c>
      <c r="F4" s="297" t="s">
        <v>499</v>
      </c>
      <c r="G4" s="334"/>
    </row>
    <row r="5" spans="1:7">
      <c r="B5" s="290">
        <f t="shared" ref="B5:B11" si="0">IF($B$3="Best",F5,IF($B$3="Worst",E5,C5))</f>
        <v>7.0000000000000007E-2</v>
      </c>
      <c r="C5" s="293">
        <v>7.0000000000000007E-2</v>
      </c>
      <c r="D5" s="294" t="s">
        <v>500</v>
      </c>
      <c r="E5" s="293">
        <v>0.1</v>
      </c>
      <c r="F5" s="293">
        <v>0.04</v>
      </c>
      <c r="G5" s="330"/>
    </row>
    <row r="6" spans="1:7">
      <c r="B6" s="290">
        <f t="shared" si="0"/>
        <v>0.6</v>
      </c>
      <c r="C6" s="291">
        <v>0.6</v>
      </c>
      <c r="D6" s="292" t="s">
        <v>501</v>
      </c>
      <c r="E6" s="291">
        <v>0.4</v>
      </c>
      <c r="F6" s="291">
        <v>0.8</v>
      </c>
      <c r="G6" s="330"/>
    </row>
    <row r="7" spans="1:7">
      <c r="B7" s="290">
        <f t="shared" si="0"/>
        <v>0.6</v>
      </c>
      <c r="C7" s="291">
        <v>0.6</v>
      </c>
      <c r="D7" s="292" t="s">
        <v>502</v>
      </c>
      <c r="E7" s="291">
        <v>0.4</v>
      </c>
      <c r="F7" s="291">
        <v>0.8</v>
      </c>
      <c r="G7" s="330"/>
    </row>
    <row r="8" spans="1:7">
      <c r="B8" s="290">
        <f t="shared" si="0"/>
        <v>1</v>
      </c>
      <c r="C8" s="291">
        <v>1</v>
      </c>
      <c r="D8" s="42" t="s">
        <v>1537</v>
      </c>
      <c r="E8" s="291">
        <v>1.25</v>
      </c>
      <c r="F8" s="291">
        <v>0.75</v>
      </c>
      <c r="G8" s="330"/>
    </row>
    <row r="9" spans="1:7">
      <c r="B9" s="290">
        <f t="shared" si="0"/>
        <v>1</v>
      </c>
      <c r="C9" s="291">
        <v>1</v>
      </c>
      <c r="D9" s="329" t="s">
        <v>1536</v>
      </c>
      <c r="E9" s="291">
        <v>1.25</v>
      </c>
      <c r="F9" s="291">
        <v>0.75</v>
      </c>
      <c r="G9" s="330"/>
    </row>
    <row r="10" spans="1:7">
      <c r="B10" s="290">
        <f t="shared" si="0"/>
        <v>1</v>
      </c>
      <c r="C10" s="291">
        <v>1</v>
      </c>
      <c r="D10" s="329" t="s">
        <v>1538</v>
      </c>
      <c r="E10" s="291">
        <v>1.25</v>
      </c>
      <c r="F10" s="291">
        <v>0.75</v>
      </c>
      <c r="G10" s="330"/>
    </row>
    <row r="11" spans="1:7">
      <c r="B11" s="290">
        <f t="shared" si="0"/>
        <v>1</v>
      </c>
      <c r="C11" s="291">
        <v>1</v>
      </c>
      <c r="D11" s="329" t="s">
        <v>1539</v>
      </c>
      <c r="E11" s="291">
        <v>1.25</v>
      </c>
      <c r="F11" s="291">
        <v>0.75</v>
      </c>
      <c r="G11" s="330"/>
    </row>
    <row r="13" spans="1:7">
      <c r="D13" s="303" t="s">
        <v>450</v>
      </c>
      <c r="E13" s="273">
        <f>SROI!F88</f>
        <v>3516209044.4805665</v>
      </c>
    </row>
    <row r="14" spans="1:7">
      <c r="D14" s="303" t="s">
        <v>451</v>
      </c>
      <c r="E14" s="273">
        <f>SROI!F89</f>
        <v>1273062260.8700972</v>
      </c>
    </row>
    <row r="15" spans="1:7">
      <c r="D15" s="303" t="s">
        <v>452</v>
      </c>
      <c r="E15" s="273">
        <f>SROI!F90</f>
        <v>846406138.39033794</v>
      </c>
    </row>
    <row r="16" spans="1:7">
      <c r="D16" s="303" t="s">
        <v>453</v>
      </c>
      <c r="E16" s="273">
        <f>SROI!F91</f>
        <v>2.6502014598764583</v>
      </c>
    </row>
  </sheetData>
  <dataValidations count="1">
    <dataValidation type="list" allowBlank="1" showInputMessage="1" showErrorMessage="1" sqref="B3" xr:uid="{2061EB6B-F323-4D72-9323-798FF0303C93}">
      <formula1>"Worst, Base, Best"</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DBD2-425F-4304-893D-5EC734016038}">
  <dimension ref="A1:H11"/>
  <sheetViews>
    <sheetView showGridLines="0" workbookViewId="0">
      <selection activeCell="F17" sqref="F17"/>
    </sheetView>
  </sheetViews>
  <sheetFormatPr defaultColWidth="8.85546875" defaultRowHeight="15"/>
  <cols>
    <col min="1" max="1" width="23.7109375" bestFit="1" customWidth="1"/>
    <col min="2" max="2" width="35.140625" bestFit="1" customWidth="1"/>
    <col min="3" max="4" width="11.42578125" customWidth="1"/>
    <col min="5" max="5" width="24.140625" bestFit="1" customWidth="1"/>
    <col min="6" max="8" width="10" customWidth="1"/>
    <col min="9" max="10" width="8.42578125" customWidth="1"/>
  </cols>
  <sheetData>
    <row r="1" spans="1:8" ht="18.75">
      <c r="A1" s="3" t="s">
        <v>503</v>
      </c>
    </row>
    <row r="3" spans="1:8" ht="15.75" thickBot="1">
      <c r="F3" s="287"/>
      <c r="G3" s="288" t="s">
        <v>453</v>
      </c>
      <c r="H3" s="287"/>
    </row>
    <row r="4" spans="1:8" ht="15.75" thickBot="1">
      <c r="A4" s="295" t="s">
        <v>497</v>
      </c>
      <c r="B4" s="296" t="s">
        <v>46</v>
      </c>
      <c r="C4" s="296" t="s">
        <v>498</v>
      </c>
      <c r="D4" s="297" t="s">
        <v>499</v>
      </c>
      <c r="E4" s="297" t="s">
        <v>1216</v>
      </c>
      <c r="G4" s="334" t="s">
        <v>1549</v>
      </c>
    </row>
    <row r="5" spans="1:8">
      <c r="A5" s="293">
        <v>7.0000000000000007E-2</v>
      </c>
      <c r="B5" s="294" t="s">
        <v>500</v>
      </c>
      <c r="C5" s="293">
        <v>0.1</v>
      </c>
      <c r="D5" s="293">
        <v>0.04</v>
      </c>
      <c r="E5" s="293" t="s">
        <v>1542</v>
      </c>
      <c r="F5" s="333">
        <v>1.723236997307066</v>
      </c>
      <c r="G5" s="333">
        <f t="shared" ref="G5:G11" si="0">H5-F5</f>
        <v>4.649027465189369</v>
      </c>
      <c r="H5" s="333">
        <v>6.3722644624964353</v>
      </c>
    </row>
    <row r="6" spans="1:8">
      <c r="A6" s="291">
        <v>0.6</v>
      </c>
      <c r="B6" s="292" t="s">
        <v>501</v>
      </c>
      <c r="C6" s="291">
        <v>0.4</v>
      </c>
      <c r="D6" s="291">
        <v>0.8</v>
      </c>
      <c r="E6" s="291" t="s">
        <v>1543</v>
      </c>
      <c r="F6" s="333">
        <v>2.5122389136068741</v>
      </c>
      <c r="G6" s="333">
        <f t="shared" si="0"/>
        <v>0.26890854915966056</v>
      </c>
      <c r="H6" s="333">
        <v>2.7811474627665347</v>
      </c>
    </row>
    <row r="7" spans="1:8">
      <c r="A7" s="291">
        <v>0.6</v>
      </c>
      <c r="B7" s="292" t="s">
        <v>502</v>
      </c>
      <c r="C7" s="291">
        <v>0.4</v>
      </c>
      <c r="D7" s="291">
        <v>0.8</v>
      </c>
      <c r="E7" s="291" t="s">
        <v>1544</v>
      </c>
      <c r="F7" s="333">
        <v>2.5438842196445823</v>
      </c>
      <c r="G7" s="333">
        <f t="shared" si="0"/>
        <v>0.20561793708424503</v>
      </c>
      <c r="H7" s="333">
        <v>2.7495021567288274</v>
      </c>
    </row>
    <row r="8" spans="1:8">
      <c r="A8" s="291">
        <v>1</v>
      </c>
      <c r="B8" s="42" t="s">
        <v>1537</v>
      </c>
      <c r="C8" s="291">
        <v>1.25</v>
      </c>
      <c r="D8" s="291">
        <v>0.75</v>
      </c>
      <c r="E8" s="291" t="s">
        <v>1548</v>
      </c>
      <c r="F8" s="333">
        <v>2.3044923449823078</v>
      </c>
      <c r="G8" s="333">
        <f t="shared" si="0"/>
        <v>0.68440168640879362</v>
      </c>
      <c r="H8" s="333">
        <v>2.9888940313911014</v>
      </c>
    </row>
    <row r="9" spans="1:8">
      <c r="A9" s="291">
        <v>1</v>
      </c>
      <c r="B9" s="329" t="s">
        <v>1536</v>
      </c>
      <c r="C9" s="291">
        <v>1.25</v>
      </c>
      <c r="D9" s="291">
        <v>0.75</v>
      </c>
      <c r="E9" s="291" t="s">
        <v>1547</v>
      </c>
      <c r="F9" s="333">
        <v>2.3941584333872892</v>
      </c>
      <c r="G9" s="333">
        <f t="shared" si="0"/>
        <v>0.56462600686697151</v>
      </c>
      <c r="H9" s="333">
        <v>2.9587844402542607</v>
      </c>
    </row>
    <row r="10" spans="1:8">
      <c r="A10" s="291">
        <v>1</v>
      </c>
      <c r="B10" s="329" t="s">
        <v>1538</v>
      </c>
      <c r="C10" s="291">
        <v>1.25</v>
      </c>
      <c r="D10" s="291">
        <v>0.75</v>
      </c>
      <c r="E10" s="291" t="s">
        <v>1546</v>
      </c>
      <c r="F10" s="333">
        <v>2.6124446062403557</v>
      </c>
      <c r="G10" s="333">
        <f t="shared" si="0"/>
        <v>6.9407075593967971E-2</v>
      </c>
      <c r="H10" s="333">
        <v>2.6818516818343237</v>
      </c>
    </row>
    <row r="11" spans="1:8">
      <c r="A11" s="291">
        <v>1</v>
      </c>
      <c r="B11" s="329" t="s">
        <v>1539</v>
      </c>
      <c r="C11" s="291">
        <v>1.25</v>
      </c>
      <c r="D11" s="291">
        <v>0.75</v>
      </c>
      <c r="E11" s="291" t="s">
        <v>1545</v>
      </c>
      <c r="F11" s="333">
        <v>2.6311887218188774</v>
      </c>
      <c r="G11" s="333">
        <f t="shared" si="0"/>
        <v>3.1192738160067623E-2</v>
      </c>
      <c r="H11" s="333">
        <v>2.662381459978945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D3CD9-E3F5-7242-89EB-1991A34D7C8E}">
  <sheetPr>
    <tabColor theme="8" tint="-0.249977111117893"/>
    <pageSetUpPr autoPageBreaks="0"/>
  </sheetPr>
  <dimension ref="A1:I180"/>
  <sheetViews>
    <sheetView topLeftCell="A111" workbookViewId="0">
      <selection activeCell="B126" sqref="B126"/>
    </sheetView>
  </sheetViews>
  <sheetFormatPr defaultColWidth="9.140625" defaultRowHeight="15"/>
  <cols>
    <col min="1" max="1" width="7.42578125" style="72" customWidth="1"/>
    <col min="2" max="2" width="60.42578125" style="48" customWidth="1"/>
    <col min="3" max="3" width="22.42578125" style="48" customWidth="1"/>
    <col min="4" max="4" width="19" style="48" customWidth="1"/>
    <col min="5" max="5" width="77.7109375" style="48" customWidth="1"/>
    <col min="6" max="6" width="33" style="71" customWidth="1"/>
    <col min="7" max="7" width="15.7109375" style="71" customWidth="1"/>
    <col min="8" max="8" width="12.28515625" style="48" customWidth="1"/>
    <col min="9" max="9" width="56.42578125" style="48" customWidth="1"/>
    <col min="10" max="16384" width="9.140625" style="71"/>
  </cols>
  <sheetData>
    <row r="1" spans="1:9" s="66" customFormat="1" ht="18.75">
      <c r="A1" s="64"/>
      <c r="B1" s="65" t="s">
        <v>46</v>
      </c>
      <c r="C1" s="65" t="s">
        <v>47</v>
      </c>
      <c r="D1" s="65" t="s">
        <v>48</v>
      </c>
      <c r="E1" s="65" t="s">
        <v>504</v>
      </c>
      <c r="F1" s="65" t="s">
        <v>50</v>
      </c>
      <c r="G1" s="65"/>
      <c r="H1" s="65" t="s">
        <v>442</v>
      </c>
      <c r="I1" s="65" t="s">
        <v>505</v>
      </c>
    </row>
    <row r="3" spans="1:9">
      <c r="A3" s="67"/>
      <c r="B3" s="68" t="s">
        <v>506</v>
      </c>
      <c r="C3" s="69"/>
      <c r="D3" s="69"/>
      <c r="E3" s="69"/>
      <c r="F3" s="70"/>
      <c r="G3" s="70"/>
      <c r="H3" s="69"/>
      <c r="I3" s="69"/>
    </row>
    <row r="4" spans="1:9">
      <c r="B4" s="48" t="s">
        <v>55</v>
      </c>
      <c r="C4" s="73"/>
      <c r="D4" s="74">
        <v>2.4690505853454541E-2</v>
      </c>
      <c r="F4" s="71" t="s">
        <v>56</v>
      </c>
      <c r="H4" s="75">
        <v>2022</v>
      </c>
    </row>
    <row r="5" spans="1:9">
      <c r="B5" s="48" t="s">
        <v>507</v>
      </c>
      <c r="C5" s="48" t="s">
        <v>167</v>
      </c>
      <c r="D5" s="76">
        <v>2.3E-2</v>
      </c>
      <c r="E5" s="48" t="s">
        <v>508</v>
      </c>
      <c r="F5" t="s">
        <v>509</v>
      </c>
      <c r="H5" s="75">
        <v>2022</v>
      </c>
    </row>
    <row r="6" spans="1:9">
      <c r="B6" s="48" t="s">
        <v>510</v>
      </c>
      <c r="D6" s="77">
        <v>1.4023226</v>
      </c>
      <c r="E6" s="48" t="s">
        <v>511</v>
      </c>
      <c r="F6" t="s">
        <v>512</v>
      </c>
      <c r="G6" s="78"/>
      <c r="H6" s="75">
        <v>2022</v>
      </c>
    </row>
    <row r="7" spans="1:9">
      <c r="B7" s="48" t="s">
        <v>513</v>
      </c>
      <c r="D7" s="77">
        <f>1.6150634</f>
        <v>1.6150633999999999</v>
      </c>
      <c r="E7" s="48" t="s">
        <v>514</v>
      </c>
      <c r="F7" s="71" t="s">
        <v>515</v>
      </c>
      <c r="H7" s="75"/>
    </row>
    <row r="8" spans="1:9">
      <c r="B8" s="48" t="s">
        <v>516</v>
      </c>
      <c r="D8" s="77">
        <f>0.95423512</f>
        <v>0.95423511999999999</v>
      </c>
      <c r="E8" s="48" t="s">
        <v>517</v>
      </c>
      <c r="F8" t="s">
        <v>518</v>
      </c>
      <c r="G8" s="78"/>
      <c r="H8" s="75"/>
    </row>
    <row r="9" spans="1:9">
      <c r="B9" s="48" t="s">
        <v>519</v>
      </c>
      <c r="C9" s="48" t="s">
        <v>167</v>
      </c>
      <c r="D9" s="79">
        <v>7.0000000000000007E-2</v>
      </c>
      <c r="E9" s="48" t="s">
        <v>520</v>
      </c>
      <c r="F9" t="s">
        <v>521</v>
      </c>
      <c r="G9" s="80"/>
      <c r="H9" s="407">
        <v>2022</v>
      </c>
    </row>
    <row r="10" spans="1:9">
      <c r="B10" s="48" t="s">
        <v>522</v>
      </c>
      <c r="C10" s="48" t="s">
        <v>167</v>
      </c>
      <c r="D10" s="79">
        <v>0.08</v>
      </c>
      <c r="G10" s="80"/>
      <c r="H10" s="407"/>
    </row>
    <row r="11" spans="1:9">
      <c r="B11" s="48" t="s">
        <v>523</v>
      </c>
      <c r="C11" s="48" t="s">
        <v>167</v>
      </c>
      <c r="D11" s="79">
        <v>0.09</v>
      </c>
      <c r="G11" s="80"/>
      <c r="H11" s="407"/>
    </row>
    <row r="12" spans="1:9">
      <c r="B12" s="48" t="s">
        <v>524</v>
      </c>
      <c r="C12" s="48" t="s">
        <v>167</v>
      </c>
      <c r="D12" s="76">
        <f>$D$13*$D$30+$D$14*(1-$D$30)</f>
        <v>3.4439999999999998E-2</v>
      </c>
      <c r="E12" s="48" t="s">
        <v>525</v>
      </c>
      <c r="F12" s="71" t="s">
        <v>226</v>
      </c>
      <c r="H12" s="81" t="s">
        <v>226</v>
      </c>
    </row>
    <row r="13" spans="1:9">
      <c r="B13" s="48" t="s">
        <v>526</v>
      </c>
      <c r="C13" s="48" t="s">
        <v>167</v>
      </c>
      <c r="D13" s="82">
        <v>0.03</v>
      </c>
      <c r="E13" s="48" t="s">
        <v>527</v>
      </c>
      <c r="F13" s="71" t="s">
        <v>226</v>
      </c>
      <c r="H13" s="81" t="s">
        <v>226</v>
      </c>
    </row>
    <row r="14" spans="1:9">
      <c r="B14" s="48" t="s">
        <v>528</v>
      </c>
      <c r="C14" s="48" t="s">
        <v>167</v>
      </c>
      <c r="D14" s="83">
        <v>7.0000000000000007E-2</v>
      </c>
      <c r="E14" s="48" t="s">
        <v>527</v>
      </c>
      <c r="F14" s="71" t="s">
        <v>226</v>
      </c>
      <c r="H14" s="81" t="s">
        <v>226</v>
      </c>
    </row>
    <row r="15" spans="1:9">
      <c r="B15" s="48" t="s">
        <v>529</v>
      </c>
      <c r="C15" s="48" t="s">
        <v>58</v>
      </c>
      <c r="D15" s="84">
        <v>533351900000</v>
      </c>
      <c r="F15" s="71" t="s">
        <v>530</v>
      </c>
      <c r="H15" s="75">
        <v>2022</v>
      </c>
    </row>
    <row r="16" spans="1:9">
      <c r="B16" s="48" t="s">
        <v>531</v>
      </c>
      <c r="C16" s="48" t="s">
        <v>167</v>
      </c>
      <c r="D16" s="73">
        <v>5.0000000000000001E-3</v>
      </c>
      <c r="F16" s="71" t="s">
        <v>532</v>
      </c>
      <c r="H16" s="75">
        <v>2021</v>
      </c>
    </row>
    <row r="17" spans="1:9">
      <c r="D17" s="73"/>
      <c r="H17" s="75"/>
    </row>
    <row r="18" spans="1:9">
      <c r="A18" s="67"/>
      <c r="B18" s="68" t="s">
        <v>533</v>
      </c>
      <c r="C18" s="69"/>
      <c r="D18" s="69"/>
      <c r="E18" s="69"/>
      <c r="F18" s="70"/>
      <c r="G18" s="70"/>
      <c r="H18" s="85"/>
      <c r="I18" s="69"/>
    </row>
    <row r="19" spans="1:9">
      <c r="B19" s="48" t="s">
        <v>534</v>
      </c>
      <c r="C19" s="48" t="s">
        <v>167</v>
      </c>
      <c r="D19" s="83">
        <v>0.33</v>
      </c>
      <c r="F19" s="71" t="s">
        <v>535</v>
      </c>
      <c r="H19" s="75">
        <v>2021</v>
      </c>
    </row>
    <row r="20" spans="1:9" ht="30">
      <c r="B20" s="86" t="s">
        <v>536</v>
      </c>
      <c r="C20" s="48" t="s">
        <v>167</v>
      </c>
      <c r="D20" s="76">
        <f>2/3</f>
        <v>0.66666666666666663</v>
      </c>
      <c r="E20" s="48" t="s">
        <v>537</v>
      </c>
      <c r="F20" s="71" t="s">
        <v>538</v>
      </c>
      <c r="H20" s="75">
        <v>2008</v>
      </c>
    </row>
    <row r="21" spans="1:9">
      <c r="H21" s="75"/>
    </row>
    <row r="22" spans="1:9">
      <c r="A22" s="67"/>
      <c r="B22" s="68" t="s">
        <v>539</v>
      </c>
      <c r="C22" s="69"/>
      <c r="D22" s="69"/>
      <c r="E22" s="69"/>
      <c r="F22" s="70"/>
      <c r="G22" s="70"/>
      <c r="H22" s="85"/>
      <c r="I22" s="69"/>
    </row>
    <row r="23" spans="1:9">
      <c r="B23" s="48" t="s">
        <v>540</v>
      </c>
      <c r="D23" s="84">
        <v>5450000</v>
      </c>
      <c r="F23" s="71" t="s">
        <v>541</v>
      </c>
      <c r="G23" s="78"/>
      <c r="H23" s="75">
        <v>2021</v>
      </c>
    </row>
    <row r="24" spans="1:9">
      <c r="B24" s="48" t="s">
        <v>542</v>
      </c>
      <c r="C24" s="48" t="s">
        <v>167</v>
      </c>
      <c r="D24" s="76">
        <v>1.1329000000000001E-2</v>
      </c>
      <c r="E24" s="48" t="s">
        <v>543</v>
      </c>
      <c r="F24" s="71" t="s">
        <v>544</v>
      </c>
      <c r="H24" s="75">
        <v>2022</v>
      </c>
    </row>
    <row r="25" spans="1:9" s="90" customFormat="1" ht="75">
      <c r="A25" s="87"/>
      <c r="B25" s="88" t="s">
        <v>545</v>
      </c>
      <c r="C25" s="88"/>
      <c r="D25" s="89">
        <v>99873</v>
      </c>
      <c r="E25" s="48" t="s">
        <v>546</v>
      </c>
      <c r="F25" s="71" t="s">
        <v>547</v>
      </c>
      <c r="H25" s="91" t="s">
        <v>548</v>
      </c>
      <c r="I25" s="88" t="s">
        <v>549</v>
      </c>
    </row>
    <row r="26" spans="1:9" s="90" customFormat="1">
      <c r="A26" s="87"/>
      <c r="B26" s="92" t="s">
        <v>550</v>
      </c>
      <c r="C26" s="92" t="s">
        <v>551</v>
      </c>
      <c r="D26" s="93">
        <f>78600</f>
        <v>78600</v>
      </c>
      <c r="E26" s="48"/>
      <c r="F26" s="71" t="s">
        <v>552</v>
      </c>
      <c r="G26" s="78"/>
      <c r="H26" s="91">
        <v>2020</v>
      </c>
      <c r="I26" s="88"/>
    </row>
    <row r="27" spans="1:9" s="90" customFormat="1">
      <c r="A27" s="87"/>
      <c r="B27" s="94" t="s">
        <v>553</v>
      </c>
      <c r="C27" s="92" t="s">
        <v>551</v>
      </c>
      <c r="D27" s="93">
        <f>262730</f>
        <v>262730</v>
      </c>
      <c r="E27" s="48"/>
      <c r="F27" s="71" t="s">
        <v>552</v>
      </c>
      <c r="G27" s="78"/>
      <c r="H27" s="91">
        <v>2021</v>
      </c>
      <c r="I27" s="88"/>
    </row>
    <row r="28" spans="1:9">
      <c r="B28" s="48" t="s">
        <v>554</v>
      </c>
      <c r="C28" s="48" t="s">
        <v>555</v>
      </c>
      <c r="D28" s="95">
        <v>7485</v>
      </c>
      <c r="E28" s="48" t="s">
        <v>556</v>
      </c>
      <c r="F28" s="71" t="s">
        <v>530</v>
      </c>
      <c r="H28" s="75">
        <v>2022</v>
      </c>
    </row>
    <row r="29" spans="1:9">
      <c r="B29" s="71" t="s">
        <v>557</v>
      </c>
      <c r="D29" s="75">
        <v>3.22</v>
      </c>
      <c r="E29" s="48" t="s">
        <v>558</v>
      </c>
      <c r="F29" t="s">
        <v>559</v>
      </c>
      <c r="G29" s="78"/>
      <c r="H29" s="75">
        <v>2020</v>
      </c>
    </row>
    <row r="30" spans="1:9">
      <c r="B30" s="48" t="s">
        <v>560</v>
      </c>
      <c r="C30" s="48" t="s">
        <v>167</v>
      </c>
      <c r="D30" s="73">
        <v>0.88900000000000001</v>
      </c>
      <c r="F30" s="71" t="s">
        <v>561</v>
      </c>
      <c r="H30" s="81">
        <v>2021</v>
      </c>
    </row>
    <row r="31" spans="1:9" ht="15" customHeight="1">
      <c r="B31" s="48" t="s">
        <v>562</v>
      </c>
      <c r="C31" s="48" t="s">
        <v>167</v>
      </c>
      <c r="D31" s="73">
        <f>78.7/(78.7+16)</f>
        <v>0.83104540654699055</v>
      </c>
      <c r="E31" s="48" t="s">
        <v>563</v>
      </c>
      <c r="F31" s="71" t="s">
        <v>559</v>
      </c>
      <c r="G31" s="96"/>
      <c r="H31" s="75">
        <v>2021</v>
      </c>
    </row>
    <row r="32" spans="1:9">
      <c r="B32" s="48" t="s">
        <v>564</v>
      </c>
      <c r="C32" s="48" t="s">
        <v>167</v>
      </c>
      <c r="D32" s="73">
        <f>16/(78.7+16)</f>
        <v>0.16895459345300951</v>
      </c>
      <c r="E32" s="48" t="s">
        <v>565</v>
      </c>
      <c r="F32" s="71" t="s">
        <v>559</v>
      </c>
      <c r="G32" s="96"/>
      <c r="H32" s="75">
        <v>2021</v>
      </c>
    </row>
    <row r="33" spans="1:9" ht="15" customHeight="1">
      <c r="B33" s="48" t="s">
        <v>566</v>
      </c>
      <c r="C33" s="71" t="s">
        <v>567</v>
      </c>
      <c r="D33" s="48">
        <v>1067</v>
      </c>
      <c r="F33" s="71" t="s">
        <v>568</v>
      </c>
      <c r="G33" s="97"/>
      <c r="H33" s="75">
        <v>2022</v>
      </c>
      <c r="I33" s="48" t="s">
        <v>569</v>
      </c>
    </row>
    <row r="34" spans="1:9">
      <c r="B34" s="48" t="s">
        <v>570</v>
      </c>
      <c r="C34" s="71" t="s">
        <v>567</v>
      </c>
      <c r="D34" s="48">
        <v>1053</v>
      </c>
      <c r="F34" s="71" t="s">
        <v>568</v>
      </c>
      <c r="G34" s="97"/>
      <c r="H34" s="75">
        <v>2022</v>
      </c>
      <c r="I34" s="48" t="s">
        <v>569</v>
      </c>
    </row>
    <row r="35" spans="1:9">
      <c r="B35" s="48" t="s">
        <v>571</v>
      </c>
      <c r="C35" s="71" t="s">
        <v>572</v>
      </c>
      <c r="D35" s="98">
        <v>507</v>
      </c>
      <c r="F35" s="71" t="s">
        <v>568</v>
      </c>
      <c r="G35" s="97"/>
      <c r="H35" s="75">
        <v>2022</v>
      </c>
      <c r="I35" s="48" t="s">
        <v>569</v>
      </c>
    </row>
    <row r="36" spans="1:9">
      <c r="B36" s="48" t="s">
        <v>573</v>
      </c>
      <c r="C36" s="71" t="s">
        <v>572</v>
      </c>
      <c r="D36" s="98">
        <v>1731</v>
      </c>
      <c r="F36" s="71" t="s">
        <v>568</v>
      </c>
      <c r="G36" s="97"/>
      <c r="H36" s="75">
        <v>2022</v>
      </c>
      <c r="I36" s="48" t="s">
        <v>569</v>
      </c>
    </row>
    <row r="37" spans="1:9" ht="45" customHeight="1">
      <c r="B37" s="48" t="s">
        <v>574</v>
      </c>
      <c r="C37" s="71" t="s">
        <v>572</v>
      </c>
      <c r="D37" s="98">
        <f>($D$31*$D$33*$D$35 +$D$32*$D$34*$D$36)</f>
        <v>757530.60506863787</v>
      </c>
      <c r="E37" s="48" t="s">
        <v>575</v>
      </c>
      <c r="F37" s="71" t="s">
        <v>576</v>
      </c>
      <c r="G37" s="99"/>
      <c r="H37" s="75" t="s">
        <v>548</v>
      </c>
      <c r="I37" s="72"/>
    </row>
    <row r="38" spans="1:9" ht="15" customHeight="1">
      <c r="B38" s="48" t="s">
        <v>577</v>
      </c>
      <c r="C38" s="71" t="s">
        <v>167</v>
      </c>
      <c r="D38" s="100">
        <f>128.69/124.64-1</f>
        <v>3.2493581514762448E-2</v>
      </c>
      <c r="E38" s="48" t="s">
        <v>578</v>
      </c>
      <c r="F38" s="71" t="s">
        <v>579</v>
      </c>
      <c r="G38" s="97"/>
      <c r="H38" s="75">
        <v>2022</v>
      </c>
    </row>
    <row r="39" spans="1:9">
      <c r="B39" s="48" t="s">
        <v>580</v>
      </c>
      <c r="C39" s="71" t="s">
        <v>167</v>
      </c>
      <c r="D39" s="76">
        <f>119.7/102.12-1</f>
        <v>0.17215041128084607</v>
      </c>
      <c r="F39" s="71" t="s">
        <v>579</v>
      </c>
      <c r="G39" s="97"/>
      <c r="H39" s="75">
        <v>2022</v>
      </c>
    </row>
    <row r="40" spans="1:9">
      <c r="B40" s="48" t="s">
        <v>581</v>
      </c>
      <c r="C40" s="71" t="s">
        <v>167</v>
      </c>
      <c r="D40" s="76">
        <f>120.81/98.47-1</f>
        <v>0.22687112826241496</v>
      </c>
      <c r="F40" s="71" t="s">
        <v>579</v>
      </c>
      <c r="G40" s="97"/>
      <c r="H40" s="75">
        <v>2022</v>
      </c>
    </row>
    <row r="41" spans="1:9">
      <c r="B41" s="48" t="s">
        <v>582</v>
      </c>
      <c r="D41" s="84">
        <v>1000000</v>
      </c>
      <c r="E41" s="48" t="s">
        <v>583</v>
      </c>
      <c r="F41" s="71" t="s">
        <v>584</v>
      </c>
      <c r="H41" s="75">
        <v>2022</v>
      </c>
    </row>
    <row r="42" spans="1:9" ht="30">
      <c r="B42" s="48" t="s">
        <v>585</v>
      </c>
      <c r="C42" s="48" t="s">
        <v>167</v>
      </c>
      <c r="D42" s="83">
        <v>0.5</v>
      </c>
      <c r="E42" s="48" t="s">
        <v>586</v>
      </c>
      <c r="F42" s="71" t="s">
        <v>226</v>
      </c>
      <c r="H42" s="75" t="s">
        <v>226</v>
      </c>
    </row>
    <row r="43" spans="1:9" ht="75">
      <c r="B43" s="48" t="s">
        <v>587</v>
      </c>
      <c r="C43" s="48" t="s">
        <v>167</v>
      </c>
      <c r="D43" s="83">
        <v>0.25</v>
      </c>
      <c r="E43" s="48" t="s">
        <v>588</v>
      </c>
      <c r="F43" s="71" t="s">
        <v>589</v>
      </c>
      <c r="H43" s="75" t="s">
        <v>226</v>
      </c>
    </row>
    <row r="44" spans="1:9" ht="75">
      <c r="B44" s="48" t="s">
        <v>590</v>
      </c>
      <c r="C44" s="48" t="s">
        <v>167</v>
      </c>
      <c r="D44" s="83">
        <f>25%</f>
        <v>0.25</v>
      </c>
      <c r="E44" s="48" t="s">
        <v>588</v>
      </c>
      <c r="F44" s="71" t="s">
        <v>589</v>
      </c>
      <c r="H44" s="75" t="s">
        <v>226</v>
      </c>
    </row>
    <row r="45" spans="1:9">
      <c r="H45" s="75"/>
    </row>
    <row r="46" spans="1:9">
      <c r="A46" s="67"/>
      <c r="B46" s="68" t="s">
        <v>591</v>
      </c>
      <c r="C46" s="69"/>
      <c r="D46" s="69"/>
      <c r="E46" s="69"/>
      <c r="F46" s="70"/>
      <c r="G46" s="70"/>
      <c r="H46" s="85"/>
      <c r="I46" s="69"/>
    </row>
    <row r="47" spans="1:9">
      <c r="B47" s="48" t="s">
        <v>592</v>
      </c>
      <c r="C47" s="48" t="s">
        <v>99</v>
      </c>
      <c r="D47" s="48">
        <v>2.74</v>
      </c>
      <c r="F47" s="48" t="s">
        <v>593</v>
      </c>
      <c r="G47" s="48"/>
      <c r="H47" s="75">
        <v>2017</v>
      </c>
    </row>
    <row r="48" spans="1:9">
      <c r="B48" s="48" t="s">
        <v>594</v>
      </c>
      <c r="C48" s="48" t="s">
        <v>595</v>
      </c>
      <c r="D48" s="101">
        <f>(165-141)/6/1000*365</f>
        <v>1.46</v>
      </c>
      <c r="E48" s="48" t="s">
        <v>596</v>
      </c>
      <c r="F48" s="48" t="s">
        <v>597</v>
      </c>
      <c r="G48" s="102"/>
      <c r="H48" s="75">
        <v>2022</v>
      </c>
    </row>
    <row r="49" spans="1:8" ht="30">
      <c r="B49" s="48" t="s">
        <v>598</v>
      </c>
      <c r="C49" s="48" t="s">
        <v>167</v>
      </c>
      <c r="D49" s="83">
        <v>0.7</v>
      </c>
      <c r="E49" s="48" t="s">
        <v>599</v>
      </c>
      <c r="F49" s="48" t="s">
        <v>600</v>
      </c>
      <c r="G49" s="102"/>
      <c r="H49" s="75">
        <v>2020</v>
      </c>
    </row>
    <row r="50" spans="1:8">
      <c r="B50" s="48" t="s">
        <v>601</v>
      </c>
      <c r="C50" s="48" t="s">
        <v>167</v>
      </c>
      <c r="D50" s="83">
        <v>0.5</v>
      </c>
      <c r="E50" s="48" t="s">
        <v>602</v>
      </c>
      <c r="F50" s="48" t="s">
        <v>602</v>
      </c>
      <c r="H50" s="75" t="s">
        <v>603</v>
      </c>
    </row>
    <row r="51" spans="1:8">
      <c r="B51" s="48" t="s">
        <v>604</v>
      </c>
      <c r="C51" s="48" t="s">
        <v>167</v>
      </c>
      <c r="D51" s="83">
        <v>0.2</v>
      </c>
      <c r="E51" s="48" t="s">
        <v>605</v>
      </c>
      <c r="F51" s="48" t="s">
        <v>606</v>
      </c>
      <c r="G51" s="102"/>
      <c r="H51" s="75">
        <v>2007</v>
      </c>
    </row>
    <row r="52" spans="1:8">
      <c r="B52" s="48" t="s">
        <v>607</v>
      </c>
      <c r="C52" s="48" t="s">
        <v>167</v>
      </c>
      <c r="D52" s="83">
        <v>0.25</v>
      </c>
      <c r="E52" s="48" t="s">
        <v>605</v>
      </c>
      <c r="F52" s="48" t="s">
        <v>606</v>
      </c>
      <c r="G52" s="102"/>
      <c r="H52" s="75">
        <v>2007</v>
      </c>
    </row>
    <row r="53" spans="1:8">
      <c r="B53" s="48" t="s">
        <v>608</v>
      </c>
      <c r="C53" s="48" t="s">
        <v>167</v>
      </c>
      <c r="D53" s="83">
        <f>18%+15%</f>
        <v>0.32999999999999996</v>
      </c>
      <c r="E53" s="48" t="s">
        <v>609</v>
      </c>
      <c r="F53" t="s">
        <v>610</v>
      </c>
      <c r="G53" s="103"/>
      <c r="H53" s="75">
        <v>2018</v>
      </c>
    </row>
    <row r="54" spans="1:8">
      <c r="B54" s="48" t="s">
        <v>611</v>
      </c>
      <c r="C54" s="48" t="s">
        <v>167</v>
      </c>
      <c r="D54" s="73">
        <f>2300/3550</f>
        <v>0.647887323943662</v>
      </c>
      <c r="E54" s="48" t="s">
        <v>612</v>
      </c>
      <c r="F54" s="48" t="s">
        <v>613</v>
      </c>
      <c r="G54" s="103"/>
      <c r="H54" s="75" t="s">
        <v>226</v>
      </c>
    </row>
    <row r="55" spans="1:8">
      <c r="B55" s="48" t="s">
        <v>614</v>
      </c>
      <c r="C55" s="48" t="s">
        <v>167</v>
      </c>
      <c r="D55" s="83">
        <v>1</v>
      </c>
      <c r="F55" s="48" t="s">
        <v>613</v>
      </c>
      <c r="G55" s="102"/>
      <c r="H55" s="75" t="s">
        <v>226</v>
      </c>
    </row>
    <row r="56" spans="1:8">
      <c r="B56" s="48" t="s">
        <v>615</v>
      </c>
      <c r="C56" s="48" t="s">
        <v>99</v>
      </c>
      <c r="D56" s="48">
        <v>0.68</v>
      </c>
      <c r="E56" s="48" t="s">
        <v>616</v>
      </c>
      <c r="F56" s="48" t="s">
        <v>617</v>
      </c>
      <c r="G56" s="48"/>
      <c r="H56" s="75">
        <v>2015</v>
      </c>
    </row>
    <row r="57" spans="1:8" ht="30">
      <c r="B57" s="48" t="s">
        <v>618</v>
      </c>
      <c r="C57" s="48" t="s">
        <v>167</v>
      </c>
      <c r="D57" s="83">
        <v>0.5</v>
      </c>
      <c r="E57" s="48" t="s">
        <v>602</v>
      </c>
      <c r="F57" s="48" t="s">
        <v>602</v>
      </c>
      <c r="G57" s="48"/>
      <c r="H57" s="75" t="s">
        <v>603</v>
      </c>
    </row>
    <row r="58" spans="1:8">
      <c r="B58" s="48" t="s">
        <v>104</v>
      </c>
      <c r="C58" s="48" t="s">
        <v>99</v>
      </c>
      <c r="D58" s="98">
        <f>151.3/420</f>
        <v>0.36023809523809525</v>
      </c>
      <c r="E58" s="48" t="s">
        <v>105</v>
      </c>
      <c r="F58" s="48" t="s">
        <v>106</v>
      </c>
      <c r="G58" s="48"/>
      <c r="H58" s="75">
        <v>2005</v>
      </c>
    </row>
    <row r="59" spans="1:8" ht="45">
      <c r="B59" s="48" t="s">
        <v>109</v>
      </c>
      <c r="C59" s="48" t="s">
        <v>99</v>
      </c>
      <c r="D59" s="98">
        <f>(2509.8+1610.9+1148.1+685.3)/420</f>
        <v>14.176428571428575</v>
      </c>
      <c r="E59" s="48" t="s">
        <v>619</v>
      </c>
      <c r="F59" s="48" t="s">
        <v>106</v>
      </c>
      <c r="G59" s="48"/>
      <c r="H59" s="75">
        <v>2005</v>
      </c>
    </row>
    <row r="60" spans="1:8" ht="30">
      <c r="B60" s="104" t="s">
        <v>620</v>
      </c>
      <c r="C60" s="48" t="s">
        <v>99</v>
      </c>
      <c r="D60" s="98">
        <f>43.2*1.78/420</f>
        <v>0.1830857142857143</v>
      </c>
      <c r="E60" s="48" t="s">
        <v>621</v>
      </c>
      <c r="F60" s="48" t="s">
        <v>106</v>
      </c>
      <c r="G60" s="48"/>
      <c r="H60" s="75">
        <v>2005</v>
      </c>
    </row>
    <row r="61" spans="1:8" s="88" customFormat="1">
      <c r="A61" s="87"/>
      <c r="B61" s="105" t="s">
        <v>622</v>
      </c>
      <c r="C61" s="105" t="s">
        <v>239</v>
      </c>
      <c r="D61" s="106">
        <v>4720000</v>
      </c>
      <c r="E61" s="48" t="s">
        <v>226</v>
      </c>
      <c r="F61" s="48" t="s">
        <v>226</v>
      </c>
      <c r="H61" s="91" t="s">
        <v>226</v>
      </c>
    </row>
    <row r="62" spans="1:8" s="48" customFormat="1" ht="60">
      <c r="A62" s="72"/>
      <c r="B62" s="48" t="s">
        <v>137</v>
      </c>
      <c r="C62" s="48" t="s">
        <v>138</v>
      </c>
      <c r="D62" s="98">
        <f>274671.14/159971</f>
        <v>1.7170058323071058</v>
      </c>
      <c r="E62" s="48" t="s">
        <v>623</v>
      </c>
      <c r="F62" s="48" t="s">
        <v>140</v>
      </c>
      <c r="H62" s="75">
        <v>2015</v>
      </c>
    </row>
    <row r="63" spans="1:8" s="48" customFormat="1" ht="30">
      <c r="A63" s="72"/>
      <c r="B63" s="104" t="s">
        <v>141</v>
      </c>
      <c r="C63" s="48" t="s">
        <v>142</v>
      </c>
      <c r="D63" s="98">
        <f>(2040/5+22970.4/10+2040/5+2010.08/10)/55908</f>
        <v>5.9276811905272946E-2</v>
      </c>
      <c r="E63" s="48" t="s">
        <v>143</v>
      </c>
      <c r="F63" s="48" t="s">
        <v>144</v>
      </c>
      <c r="H63" s="75">
        <v>2008</v>
      </c>
    </row>
    <row r="64" spans="1:8" s="48" customFormat="1">
      <c r="A64" s="72"/>
      <c r="B64" s="48" t="s">
        <v>145</v>
      </c>
      <c r="C64" s="71" t="s">
        <v>146</v>
      </c>
      <c r="D64" s="107">
        <v>1.4</v>
      </c>
      <c r="E64" s="48" t="s">
        <v>624</v>
      </c>
      <c r="F64" s="48" t="s">
        <v>148</v>
      </c>
      <c r="G64" s="71"/>
      <c r="H64" s="75">
        <v>2014</v>
      </c>
    </row>
    <row r="65" spans="1:9" s="48" customFormat="1">
      <c r="A65" s="72"/>
      <c r="B65" s="48" t="s">
        <v>625</v>
      </c>
      <c r="C65" s="48" t="s">
        <v>239</v>
      </c>
      <c r="D65" s="108">
        <f>733000000</f>
        <v>733000000</v>
      </c>
      <c r="E65" s="48" t="s">
        <v>626</v>
      </c>
      <c r="F65" t="s">
        <v>627</v>
      </c>
      <c r="G65" s="109"/>
      <c r="H65" s="75">
        <v>2022</v>
      </c>
    </row>
    <row r="66" spans="1:9" s="48" customFormat="1">
      <c r="A66" s="72"/>
      <c r="B66" s="48" t="s">
        <v>628</v>
      </c>
      <c r="C66" s="48" t="s">
        <v>567</v>
      </c>
      <c r="D66" s="110">
        <f>$D$65*10.76391041671</f>
        <v>7889946335.448431</v>
      </c>
      <c r="E66" s="48" t="s">
        <v>629</v>
      </c>
      <c r="F66" t="s">
        <v>627</v>
      </c>
      <c r="G66" s="71"/>
      <c r="H66" s="75">
        <v>2022</v>
      </c>
    </row>
    <row r="67" spans="1:9">
      <c r="B67" s="48" t="s">
        <v>630</v>
      </c>
      <c r="C67" s="48" t="s">
        <v>631</v>
      </c>
      <c r="D67" s="98">
        <f>600000000/3.6</f>
        <v>166666666.66666666</v>
      </c>
      <c r="E67" s="48" t="s">
        <v>632</v>
      </c>
      <c r="F67" t="s">
        <v>633</v>
      </c>
      <c r="G67" s="78"/>
      <c r="H67" s="75">
        <v>2021</v>
      </c>
    </row>
    <row r="68" spans="1:9">
      <c r="B68" s="48" t="s">
        <v>634</v>
      </c>
      <c r="C68" s="48" t="s">
        <v>635</v>
      </c>
      <c r="D68" s="111">
        <v>0.75</v>
      </c>
      <c r="E68" s="48" t="s">
        <v>636</v>
      </c>
      <c r="F68" s="48" t="s">
        <v>637</v>
      </c>
      <c r="G68" s="78"/>
      <c r="H68" s="75">
        <v>2003</v>
      </c>
    </row>
    <row r="69" spans="1:9" ht="45">
      <c r="B69" s="48" t="s">
        <v>638</v>
      </c>
      <c r="C69" s="48" t="s">
        <v>239</v>
      </c>
      <c r="D69" s="112">
        <f>60*2.5</f>
        <v>150</v>
      </c>
      <c r="E69" s="48" t="s">
        <v>639</v>
      </c>
      <c r="F69" s="48" t="s">
        <v>226</v>
      </c>
      <c r="G69" s="78"/>
      <c r="H69" s="75" t="s">
        <v>226</v>
      </c>
    </row>
    <row r="70" spans="1:9">
      <c r="B70" s="48" t="s">
        <v>640</v>
      </c>
      <c r="C70" s="48" t="s">
        <v>239</v>
      </c>
      <c r="D70" s="110">
        <f>3347*10000</f>
        <v>33470000</v>
      </c>
      <c r="F70" s="48" t="s">
        <v>226</v>
      </c>
      <c r="G70" s="78"/>
      <c r="H70" s="75" t="s">
        <v>226</v>
      </c>
    </row>
    <row r="71" spans="1:9" ht="30">
      <c r="B71" s="48" t="s">
        <v>641</v>
      </c>
      <c r="C71" s="48" t="s">
        <v>244</v>
      </c>
      <c r="D71" s="113">
        <f>4.563*4.882426</f>
        <v>22.278509837999998</v>
      </c>
      <c r="E71" s="88" t="s">
        <v>642</v>
      </c>
      <c r="F71" s="48" t="s">
        <v>643</v>
      </c>
      <c r="H71" s="75">
        <v>2014</v>
      </c>
      <c r="I71" s="48" t="s">
        <v>644</v>
      </c>
    </row>
    <row r="72" spans="1:9" ht="30">
      <c r="B72" s="48" t="s">
        <v>645</v>
      </c>
      <c r="C72" s="48" t="s">
        <v>646</v>
      </c>
      <c r="D72" s="111">
        <f>450*0.5</f>
        <v>225</v>
      </c>
      <c r="E72" s="88" t="s">
        <v>647</v>
      </c>
      <c r="F72" s="48" t="s">
        <v>648</v>
      </c>
      <c r="H72" s="75">
        <v>2017</v>
      </c>
      <c r="I72" s="48" t="s">
        <v>649</v>
      </c>
    </row>
    <row r="73" spans="1:9" ht="30">
      <c r="B73" s="48" t="s">
        <v>650</v>
      </c>
      <c r="C73" s="48" t="s">
        <v>651</v>
      </c>
      <c r="D73" s="101">
        <f>70000000/(110*1000)</f>
        <v>636.36363636363637</v>
      </c>
      <c r="E73" s="48" t="s">
        <v>652</v>
      </c>
      <c r="F73" s="48" t="s">
        <v>653</v>
      </c>
      <c r="G73" s="78"/>
      <c r="H73" s="75">
        <v>2019</v>
      </c>
    </row>
    <row r="74" spans="1:9" ht="45">
      <c r="B74" s="48" t="s">
        <v>654</v>
      </c>
      <c r="C74" s="48" t="s">
        <v>651</v>
      </c>
      <c r="D74" s="101">
        <f>39000000*$D$6/(2000000*0.453592)</f>
        <v>60.286095654244342</v>
      </c>
      <c r="E74" s="48" t="s">
        <v>655</v>
      </c>
      <c r="F74" s="48" t="s">
        <v>656</v>
      </c>
      <c r="G74" s="109"/>
      <c r="H74" s="75">
        <v>2019</v>
      </c>
    </row>
    <row r="75" spans="1:9">
      <c r="B75" s="48" t="s">
        <v>657</v>
      </c>
      <c r="C75" s="48" t="s">
        <v>651</v>
      </c>
      <c r="D75" s="101">
        <f>0.65*$D$6/0.453592</f>
        <v>2.0095365218081449</v>
      </c>
      <c r="E75" s="114" t="s">
        <v>658</v>
      </c>
      <c r="F75" s="48" t="s">
        <v>656</v>
      </c>
      <c r="H75" s="75">
        <v>2019</v>
      </c>
      <c r="I75" s="48" t="s">
        <v>659</v>
      </c>
    </row>
    <row r="76" spans="1:9">
      <c r="B76" s="48" t="s">
        <v>660</v>
      </c>
      <c r="C76" s="48" t="s">
        <v>239</v>
      </c>
      <c r="D76" s="110">
        <v>620000</v>
      </c>
      <c r="F76" s="48" t="s">
        <v>661</v>
      </c>
      <c r="H76" s="75" t="s">
        <v>662</v>
      </c>
    </row>
    <row r="77" spans="1:9">
      <c r="B77" s="48" t="s">
        <v>663</v>
      </c>
      <c r="C77" s="48" t="s">
        <v>239</v>
      </c>
      <c r="D77" s="110">
        <f>56%*D76</f>
        <v>347200.00000000006</v>
      </c>
      <c r="E77" s="48" t="s">
        <v>664</v>
      </c>
      <c r="F77" s="48" t="s">
        <v>665</v>
      </c>
      <c r="H77" s="75">
        <v>2011</v>
      </c>
    </row>
    <row r="78" spans="1:9">
      <c r="B78" s="48" t="s">
        <v>666</v>
      </c>
      <c r="C78" s="48" t="s">
        <v>551</v>
      </c>
      <c r="D78" s="110">
        <v>6059751.60346446</v>
      </c>
      <c r="E78" s="48" t="s">
        <v>667</v>
      </c>
      <c r="F78" s="48" t="s">
        <v>668</v>
      </c>
      <c r="H78" s="75">
        <v>2015</v>
      </c>
    </row>
    <row r="79" spans="1:9">
      <c r="B79" s="48" t="s">
        <v>669</v>
      </c>
      <c r="C79" s="48" t="s">
        <v>167</v>
      </c>
      <c r="D79" s="83">
        <v>0.1</v>
      </c>
      <c r="F79" s="48" t="s">
        <v>670</v>
      </c>
      <c r="H79" s="75">
        <v>2021</v>
      </c>
    </row>
    <row r="80" spans="1:9">
      <c r="B80" s="48" t="s">
        <v>671</v>
      </c>
      <c r="C80" s="48" t="s">
        <v>551</v>
      </c>
      <c r="D80" s="115">
        <v>17334000</v>
      </c>
      <c r="E80" s="48" t="s">
        <v>672</v>
      </c>
      <c r="F80" s="48" t="s">
        <v>673</v>
      </c>
      <c r="H80" s="75"/>
    </row>
    <row r="81" spans="1:9">
      <c r="B81" s="48" t="s">
        <v>674</v>
      </c>
      <c r="C81" s="71" t="s">
        <v>551</v>
      </c>
      <c r="D81" s="116">
        <f>$D$80*$D$79</f>
        <v>1733400</v>
      </c>
      <c r="F81" s="48"/>
      <c r="H81" s="75"/>
    </row>
    <row r="82" spans="1:9">
      <c r="B82" s="48" t="s">
        <v>675</v>
      </c>
      <c r="C82" s="71" t="s">
        <v>551</v>
      </c>
      <c r="D82" s="116">
        <f>ROUND($D$78-$D$80*$D$79,0)</f>
        <v>4326352</v>
      </c>
      <c r="F82" s="48"/>
      <c r="H82" s="75"/>
    </row>
    <row r="83" spans="1:9">
      <c r="B83" s="48" t="s">
        <v>676</v>
      </c>
      <c r="C83" s="48" t="s">
        <v>677</v>
      </c>
      <c r="D83" s="48">
        <v>0.7</v>
      </c>
      <c r="E83" s="48" t="s">
        <v>678</v>
      </c>
      <c r="F83" s="48" t="s">
        <v>668</v>
      </c>
      <c r="H83" s="75"/>
    </row>
    <row r="84" spans="1:9" ht="30">
      <c r="B84" s="48" t="s">
        <v>679</v>
      </c>
      <c r="C84" s="48" t="s">
        <v>680</v>
      </c>
      <c r="D84" s="101">
        <f>7*$D$6*1.00863873596069</f>
        <v>9.9010582627117589</v>
      </c>
      <c r="E84" s="48" t="s">
        <v>681</v>
      </c>
      <c r="F84" s="48" t="s">
        <v>682</v>
      </c>
      <c r="H84" s="75">
        <v>2015</v>
      </c>
    </row>
    <row r="85" spans="1:9">
      <c r="B85" s="48" t="s">
        <v>683</v>
      </c>
      <c r="C85" s="48" t="s">
        <v>684</v>
      </c>
      <c r="D85" s="117">
        <v>1633.3</v>
      </c>
      <c r="E85" s="48" t="s">
        <v>685</v>
      </c>
      <c r="F85" s="48" t="s">
        <v>686</v>
      </c>
      <c r="H85" s="75">
        <v>2022</v>
      </c>
    </row>
    <row r="86" spans="1:9">
      <c r="B86" s="48" t="s">
        <v>687</v>
      </c>
      <c r="C86" s="48" t="s">
        <v>688</v>
      </c>
      <c r="D86" s="110">
        <v>567900</v>
      </c>
      <c r="F86" s="48" t="s">
        <v>689</v>
      </c>
      <c r="H86" s="75"/>
    </row>
    <row r="87" spans="1:9">
      <c r="B87" s="48" t="s">
        <v>690</v>
      </c>
      <c r="C87" s="48" t="s">
        <v>651</v>
      </c>
      <c r="D87" s="77">
        <f>AVERAGE(1.21,1.25,1.24,1.25,1.29,1.32,1.32,1.4,1.42,1.28,1.34,1.49)</f>
        <v>1.3175000000000001</v>
      </c>
      <c r="F87" s="48" t="s">
        <v>689</v>
      </c>
      <c r="H87" s="75"/>
    </row>
    <row r="88" spans="1:9" ht="30">
      <c r="B88" s="48" t="s">
        <v>691</v>
      </c>
      <c r="C88" s="48" t="s">
        <v>651</v>
      </c>
      <c r="D88" s="77">
        <f>_xlfn.STDEV.S(1.21,1.25,1.24,1.25,1.29,1.32,1.32,1.4,1.42,1.28,1.34,1.49)</f>
        <v>8.3353027975756638E-2</v>
      </c>
      <c r="F88" s="48" t="s">
        <v>689</v>
      </c>
      <c r="H88" s="75"/>
    </row>
    <row r="89" spans="1:9">
      <c r="D89" s="110"/>
      <c r="H89" s="75"/>
    </row>
    <row r="90" spans="1:9">
      <c r="A90" s="67"/>
      <c r="B90" s="68" t="s">
        <v>692</v>
      </c>
      <c r="C90" s="69"/>
      <c r="D90" s="69"/>
      <c r="E90" s="69"/>
      <c r="F90" s="70"/>
      <c r="G90" s="70"/>
      <c r="H90" s="85"/>
      <c r="I90" s="69"/>
    </row>
    <row r="91" spans="1:9" ht="30">
      <c r="B91" s="48" t="s">
        <v>693</v>
      </c>
      <c r="C91" s="48" t="s">
        <v>58</v>
      </c>
      <c r="D91" s="98">
        <v>540000000</v>
      </c>
      <c r="F91" s="48" t="s">
        <v>694</v>
      </c>
      <c r="G91" s="48"/>
      <c r="H91" s="75">
        <v>2017</v>
      </c>
    </row>
    <row r="92" spans="1:9" ht="30">
      <c r="B92" s="48" t="s">
        <v>695</v>
      </c>
      <c r="C92" s="48" t="s">
        <v>696</v>
      </c>
      <c r="D92" s="98">
        <f>$D$91/$D$23</f>
        <v>99.082568807339456</v>
      </c>
      <c r="E92" s="48" t="s">
        <v>697</v>
      </c>
      <c r="F92" s="48" t="s">
        <v>603</v>
      </c>
      <c r="G92" s="48"/>
      <c r="H92" s="75" t="s">
        <v>603</v>
      </c>
    </row>
    <row r="93" spans="1:9">
      <c r="B93" s="48" t="s">
        <v>698</v>
      </c>
      <c r="C93" s="48" t="s">
        <v>167</v>
      </c>
      <c r="D93" s="73">
        <v>0.105</v>
      </c>
      <c r="F93" s="48" t="s">
        <v>699</v>
      </c>
      <c r="G93" s="48"/>
      <c r="H93" s="75">
        <v>2021</v>
      </c>
    </row>
    <row r="94" spans="1:9">
      <c r="B94" s="86" t="s">
        <v>700</v>
      </c>
      <c r="C94" s="83" t="s">
        <v>167</v>
      </c>
      <c r="D94" s="83">
        <v>0.6</v>
      </c>
      <c r="E94" s="48" t="s">
        <v>701</v>
      </c>
      <c r="F94" s="48" t="s">
        <v>603</v>
      </c>
      <c r="G94" s="48"/>
      <c r="H94" s="75" t="s">
        <v>603</v>
      </c>
    </row>
    <row r="95" spans="1:9">
      <c r="B95" s="48" t="s">
        <v>702</v>
      </c>
      <c r="C95" s="48" t="s">
        <v>58</v>
      </c>
      <c r="D95" s="98">
        <v>130</v>
      </c>
      <c r="F95" s="48" t="s">
        <v>703</v>
      </c>
      <c r="G95" s="48"/>
      <c r="H95" s="75">
        <v>2022</v>
      </c>
    </row>
    <row r="96" spans="1:9" ht="30">
      <c r="B96" s="48" t="s">
        <v>704</v>
      </c>
      <c r="D96" s="110">
        <v>49800</v>
      </c>
      <c r="F96" s="48" t="s">
        <v>705</v>
      </c>
      <c r="G96" s="48"/>
      <c r="H96" s="75">
        <v>2021</v>
      </c>
    </row>
    <row r="97" spans="2:9">
      <c r="B97" s="86" t="s">
        <v>706</v>
      </c>
      <c r="C97" s="83" t="s">
        <v>167</v>
      </c>
      <c r="D97" s="83">
        <v>0.3</v>
      </c>
      <c r="E97" s="48" t="s">
        <v>701</v>
      </c>
      <c r="F97" s="48" t="s">
        <v>603</v>
      </c>
      <c r="G97" s="48"/>
      <c r="H97" s="75" t="s">
        <v>603</v>
      </c>
    </row>
    <row r="98" spans="2:9" ht="30">
      <c r="B98" s="48" t="s">
        <v>707</v>
      </c>
      <c r="C98" s="48" t="s">
        <v>708</v>
      </c>
      <c r="D98" s="101">
        <f>3938.9*13.4%</f>
        <v>527.81260000000009</v>
      </c>
      <c r="E98" s="48" t="s">
        <v>709</v>
      </c>
      <c r="F98" s="48" t="s">
        <v>710</v>
      </c>
      <c r="G98" s="48"/>
      <c r="H98" s="75">
        <v>2021</v>
      </c>
    </row>
    <row r="99" spans="2:9">
      <c r="B99" s="48" t="s">
        <v>711</v>
      </c>
      <c r="C99" s="48" t="s">
        <v>712</v>
      </c>
      <c r="D99" s="48">
        <v>35</v>
      </c>
      <c r="E99" s="48" t="s">
        <v>713</v>
      </c>
      <c r="F99" t="s">
        <v>714</v>
      </c>
      <c r="G99" s="78"/>
      <c r="H99" s="75">
        <v>2019</v>
      </c>
    </row>
    <row r="100" spans="2:9">
      <c r="B100" s="48" t="s">
        <v>715</v>
      </c>
      <c r="C100" s="48" t="s">
        <v>58</v>
      </c>
      <c r="D100" s="98">
        <f>4680*12/365*7/5</f>
        <v>215.40821917808222</v>
      </c>
      <c r="E100" s="48" t="s">
        <v>716</v>
      </c>
      <c r="F100" t="s">
        <v>717</v>
      </c>
      <c r="G100" s="118"/>
      <c r="H100" s="75">
        <v>2022</v>
      </c>
    </row>
    <row r="101" spans="2:9">
      <c r="B101" s="48" t="s">
        <v>718</v>
      </c>
      <c r="C101" s="48" t="s">
        <v>167</v>
      </c>
      <c r="D101" s="83">
        <v>0.2</v>
      </c>
      <c r="F101" s="48" t="s">
        <v>719</v>
      </c>
      <c r="G101" s="118"/>
      <c r="H101" s="75">
        <v>2004</v>
      </c>
      <c r="I101" s="48" t="s">
        <v>720</v>
      </c>
    </row>
    <row r="102" spans="2:9">
      <c r="B102" s="48" t="s">
        <v>721</v>
      </c>
      <c r="C102" s="48" t="s">
        <v>167</v>
      </c>
      <c r="D102" s="119">
        <v>0.70499999999999996</v>
      </c>
      <c r="E102" s="48" t="s">
        <v>722</v>
      </c>
      <c r="F102" s="48" t="s">
        <v>723</v>
      </c>
      <c r="G102" s="118"/>
      <c r="H102" s="75">
        <v>2021</v>
      </c>
    </row>
    <row r="103" spans="2:9">
      <c r="B103" s="48" t="s">
        <v>724</v>
      </c>
      <c r="C103" s="48" t="s">
        <v>712</v>
      </c>
      <c r="D103" s="48">
        <v>3.3</v>
      </c>
      <c r="E103" s="48" t="s">
        <v>725</v>
      </c>
      <c r="F103" s="48" t="s">
        <v>726</v>
      </c>
      <c r="G103" s="118"/>
      <c r="H103" s="75">
        <v>2021</v>
      </c>
    </row>
    <row r="104" spans="2:9" ht="30">
      <c r="B104" s="48" t="s">
        <v>727</v>
      </c>
      <c r="C104" s="48" t="s">
        <v>167</v>
      </c>
      <c r="D104" s="76">
        <f>21000000000/3200000000000</f>
        <v>6.5624999999999998E-3</v>
      </c>
      <c r="E104" s="114" t="s">
        <v>728</v>
      </c>
      <c r="F104" s="48" t="s">
        <v>729</v>
      </c>
      <c r="G104" s="118"/>
      <c r="H104" s="75">
        <v>2016</v>
      </c>
      <c r="I104" s="48" t="s">
        <v>730</v>
      </c>
    </row>
    <row r="105" spans="2:9" ht="30">
      <c r="B105" s="48" t="s">
        <v>731</v>
      </c>
      <c r="C105" s="48" t="s">
        <v>167</v>
      </c>
      <c r="D105" s="83">
        <v>0.4</v>
      </c>
      <c r="E105" s="48" t="s">
        <v>732</v>
      </c>
      <c r="F105" t="s">
        <v>733</v>
      </c>
      <c r="G105" s="48"/>
      <c r="H105" s="75">
        <v>2020</v>
      </c>
    </row>
    <row r="106" spans="2:9">
      <c r="B106" s="48" t="s">
        <v>734</v>
      </c>
      <c r="C106" s="48" t="s">
        <v>646</v>
      </c>
      <c r="D106" s="98">
        <v>323</v>
      </c>
      <c r="E106" s="48" t="s">
        <v>735</v>
      </c>
      <c r="F106" s="48" t="s">
        <v>736</v>
      </c>
      <c r="G106" s="118"/>
      <c r="H106" s="75">
        <v>2019</v>
      </c>
    </row>
    <row r="107" spans="2:9">
      <c r="B107" s="48" t="s">
        <v>737</v>
      </c>
      <c r="C107" s="48" t="s">
        <v>167</v>
      </c>
      <c r="D107" s="76">
        <f>((27/11.3)^(1/11))-1</f>
        <v>8.2404463794054861E-2</v>
      </c>
      <c r="E107" s="48" t="s">
        <v>738</v>
      </c>
      <c r="F107" s="48" t="s">
        <v>739</v>
      </c>
      <c r="G107" s="118"/>
      <c r="H107" s="75">
        <v>2022</v>
      </c>
    </row>
    <row r="108" spans="2:9">
      <c r="B108" s="48" t="s">
        <v>740</v>
      </c>
      <c r="C108" s="48" t="s">
        <v>167</v>
      </c>
      <c r="D108" s="76">
        <v>0.5</v>
      </c>
      <c r="E108" s="48" t="s">
        <v>602</v>
      </c>
      <c r="F108" s="48" t="s">
        <v>602</v>
      </c>
      <c r="G108" s="48"/>
      <c r="H108" s="75" t="s">
        <v>603</v>
      </c>
    </row>
    <row r="109" spans="2:9" ht="45">
      <c r="B109" s="48" t="s">
        <v>741</v>
      </c>
      <c r="C109" s="48" t="s">
        <v>167</v>
      </c>
      <c r="D109" s="76">
        <f>1/7</f>
        <v>0.14285714285714285</v>
      </c>
      <c r="E109" s="48" t="s">
        <v>742</v>
      </c>
      <c r="F109" s="48" t="s">
        <v>743</v>
      </c>
      <c r="G109" s="118"/>
      <c r="H109" s="75">
        <v>2018</v>
      </c>
    </row>
    <row r="110" spans="2:9">
      <c r="B110" s="48" t="s">
        <v>744</v>
      </c>
      <c r="C110" s="71" t="s">
        <v>167</v>
      </c>
      <c r="D110" s="82">
        <v>0.45</v>
      </c>
      <c r="E110" s="48" t="s">
        <v>745</v>
      </c>
      <c r="F110" s="48" t="s">
        <v>668</v>
      </c>
      <c r="G110" s="118"/>
      <c r="H110" s="75">
        <v>2015</v>
      </c>
    </row>
    <row r="111" spans="2:9" ht="30">
      <c r="B111" s="48" t="s">
        <v>746</v>
      </c>
      <c r="C111" s="71" t="s">
        <v>167</v>
      </c>
      <c r="D111" s="76">
        <v>0.02</v>
      </c>
      <c r="E111" s="48" t="s">
        <v>747</v>
      </c>
      <c r="F111" s="48"/>
      <c r="G111" s="118"/>
      <c r="H111" s="75"/>
    </row>
    <row r="112" spans="2:9" ht="30">
      <c r="B112" s="48" t="s">
        <v>748</v>
      </c>
      <c r="C112" s="48" t="s">
        <v>749</v>
      </c>
      <c r="D112" s="117">
        <f>74/1000*5*2*365</f>
        <v>270.10000000000002</v>
      </c>
      <c r="E112" s="48" t="s">
        <v>750</v>
      </c>
      <c r="F112" s="48" t="s">
        <v>751</v>
      </c>
      <c r="G112" s="118"/>
      <c r="H112" s="75">
        <v>1986</v>
      </c>
    </row>
    <row r="113" spans="1:9" ht="30">
      <c r="B113" s="48" t="s">
        <v>752</v>
      </c>
      <c r="C113" s="48" t="s">
        <v>753</v>
      </c>
      <c r="D113" s="117">
        <v>2000</v>
      </c>
      <c r="E113" s="48" t="s">
        <v>754</v>
      </c>
      <c r="F113" s="48" t="s">
        <v>755</v>
      </c>
      <c r="G113" s="118"/>
      <c r="H113" s="75">
        <v>2022</v>
      </c>
    </row>
    <row r="114" spans="1:9" ht="45">
      <c r="B114" s="48" t="s">
        <v>756</v>
      </c>
      <c r="C114" s="48" t="s">
        <v>753</v>
      </c>
      <c r="D114" s="117">
        <f>170/$D$29*1.7</f>
        <v>89.751552795031046</v>
      </c>
      <c r="E114" s="48" t="s">
        <v>757</v>
      </c>
      <c r="F114" s="48" t="s">
        <v>758</v>
      </c>
      <c r="G114" s="118"/>
      <c r="H114" s="75" t="s">
        <v>759</v>
      </c>
    </row>
    <row r="115" spans="1:9">
      <c r="B115" s="48" t="s">
        <v>760</v>
      </c>
      <c r="C115" s="48" t="s">
        <v>58</v>
      </c>
      <c r="D115" s="110">
        <f>4000000</f>
        <v>4000000</v>
      </c>
      <c r="F115" s="48" t="s">
        <v>761</v>
      </c>
      <c r="G115" s="48"/>
      <c r="H115" s="75">
        <v>2019</v>
      </c>
    </row>
    <row r="116" spans="1:9">
      <c r="D116" s="120"/>
      <c r="F116" s="48"/>
      <c r="G116" s="118"/>
      <c r="H116" s="75"/>
    </row>
    <row r="117" spans="1:9">
      <c r="A117" s="67"/>
      <c r="B117" s="68" t="s">
        <v>762</v>
      </c>
      <c r="C117" s="69"/>
      <c r="D117" s="69"/>
      <c r="E117" s="69"/>
      <c r="F117" s="70"/>
      <c r="G117" s="70"/>
      <c r="H117" s="85"/>
      <c r="I117" s="69"/>
    </row>
    <row r="118" spans="1:9">
      <c r="B118" s="48" t="s">
        <v>763</v>
      </c>
      <c r="C118" s="48" t="s">
        <v>551</v>
      </c>
      <c r="D118" s="112">
        <v>38</v>
      </c>
      <c r="F118" s="48" t="s">
        <v>764</v>
      </c>
      <c r="H118" s="75">
        <v>2022</v>
      </c>
    </row>
    <row r="119" spans="1:9">
      <c r="B119" s="48" t="s">
        <v>765</v>
      </c>
      <c r="C119" s="48" t="s">
        <v>239</v>
      </c>
      <c r="D119" s="110">
        <f>28000</f>
        <v>28000</v>
      </c>
      <c r="F119" s="48" t="s">
        <v>764</v>
      </c>
      <c r="H119" s="75">
        <v>2022</v>
      </c>
    </row>
    <row r="120" spans="1:9">
      <c r="B120" s="48" t="s">
        <v>766</v>
      </c>
      <c r="C120" s="48" t="s">
        <v>767</v>
      </c>
      <c r="D120" s="110">
        <f>32000000/16</f>
        <v>2000000</v>
      </c>
      <c r="E120" s="48" t="s">
        <v>768</v>
      </c>
      <c r="F120" s="48" t="s">
        <v>764</v>
      </c>
      <c r="H120" s="75">
        <v>2022</v>
      </c>
    </row>
    <row r="121" spans="1:9">
      <c r="B121" s="48" t="s">
        <v>769</v>
      </c>
      <c r="C121" s="48" t="s">
        <v>551</v>
      </c>
      <c r="D121" s="110">
        <v>868</v>
      </c>
      <c r="F121" s="48" t="s">
        <v>764</v>
      </c>
      <c r="H121" s="75">
        <v>2022</v>
      </c>
    </row>
    <row r="122" spans="1:9">
      <c r="B122" s="48" t="s">
        <v>770</v>
      </c>
      <c r="C122" s="48" t="s">
        <v>58</v>
      </c>
      <c r="D122" s="98">
        <f>23000000/$D$121</f>
        <v>26497.695852534562</v>
      </c>
      <c r="E122" s="48" t="s">
        <v>771</v>
      </c>
      <c r="F122" s="48" t="s">
        <v>764</v>
      </c>
      <c r="H122" s="75">
        <v>2022</v>
      </c>
    </row>
    <row r="123" spans="1:9">
      <c r="D123" s="110"/>
      <c r="F123" s="48"/>
      <c r="G123" s="48"/>
      <c r="H123" s="75"/>
    </row>
    <row r="124" spans="1:9">
      <c r="A124" s="67"/>
      <c r="B124" s="68" t="s">
        <v>772</v>
      </c>
      <c r="C124" s="69"/>
      <c r="D124" s="69"/>
      <c r="E124" s="69"/>
      <c r="F124" s="70"/>
      <c r="G124" s="70"/>
      <c r="H124" s="85"/>
      <c r="I124" s="69"/>
    </row>
    <row r="125" spans="1:9">
      <c r="B125" s="48" t="s">
        <v>773</v>
      </c>
      <c r="C125" s="48" t="s">
        <v>774</v>
      </c>
      <c r="D125" s="48">
        <f>0.3017*1.07</f>
        <v>0.32281900000000002</v>
      </c>
      <c r="E125" s="48" t="s">
        <v>775</v>
      </c>
      <c r="F125" s="48" t="s">
        <v>776</v>
      </c>
      <c r="G125" s="118"/>
      <c r="H125" s="75">
        <v>2022</v>
      </c>
    </row>
    <row r="126" spans="1:9" ht="30">
      <c r="B126" s="48" t="s">
        <v>777</v>
      </c>
      <c r="C126" s="48" t="s">
        <v>167</v>
      </c>
      <c r="D126" s="100">
        <f>AVERAGE(9.3,10.75,3.06,-6.36,2.84)/100</f>
        <v>3.918E-2</v>
      </c>
      <c r="F126" s="48" t="s">
        <v>778</v>
      </c>
      <c r="G126" s="118"/>
      <c r="H126" s="75">
        <v>2022</v>
      </c>
    </row>
    <row r="127" spans="1:9" ht="30">
      <c r="B127" s="48" t="s">
        <v>779</v>
      </c>
      <c r="C127" s="48" t="s">
        <v>780</v>
      </c>
      <c r="D127" s="98">
        <f>D125*1000000*(1+D126)</f>
        <v>335467.04842000001</v>
      </c>
      <c r="F127" t="s">
        <v>603</v>
      </c>
      <c r="G127" s="118"/>
      <c r="H127" s="75" t="s">
        <v>603</v>
      </c>
    </row>
    <row r="128" spans="1:9">
      <c r="B128" s="48" t="s">
        <v>781</v>
      </c>
      <c r="C128" s="48" t="s">
        <v>167</v>
      </c>
      <c r="D128" s="119">
        <v>0.03</v>
      </c>
      <c r="E128" s="48" t="s">
        <v>782</v>
      </c>
      <c r="F128" s="48" t="s">
        <v>783</v>
      </c>
      <c r="G128" s="118"/>
      <c r="H128" s="75">
        <v>2021</v>
      </c>
    </row>
    <row r="129" spans="2:9">
      <c r="B129" s="48" t="s">
        <v>784</v>
      </c>
      <c r="C129" s="48" t="s">
        <v>785</v>
      </c>
      <c r="D129" s="48">
        <v>36000</v>
      </c>
      <c r="E129" s="48" t="s">
        <v>786</v>
      </c>
      <c r="F129" s="48" t="s">
        <v>613</v>
      </c>
      <c r="G129" s="48"/>
      <c r="H129" s="75">
        <v>2022</v>
      </c>
    </row>
    <row r="130" spans="2:9">
      <c r="B130" s="48" t="s">
        <v>787</v>
      </c>
      <c r="C130" s="48" t="s">
        <v>788</v>
      </c>
      <c r="D130" s="98">
        <v>650</v>
      </c>
      <c r="E130" s="48" t="s">
        <v>789</v>
      </c>
      <c r="F130" s="48" t="s">
        <v>790</v>
      </c>
      <c r="G130" s="86"/>
      <c r="H130" s="75">
        <v>2021</v>
      </c>
    </row>
    <row r="131" spans="2:9">
      <c r="B131" s="48" t="s">
        <v>791</v>
      </c>
      <c r="C131" s="48" t="s">
        <v>788</v>
      </c>
      <c r="D131" s="98">
        <v>1500</v>
      </c>
      <c r="E131" s="48" t="s">
        <v>789</v>
      </c>
      <c r="F131" s="48" t="s">
        <v>790</v>
      </c>
      <c r="G131" s="86"/>
      <c r="H131" s="75">
        <v>2021</v>
      </c>
    </row>
    <row r="132" spans="2:9" ht="30">
      <c r="B132" s="48" t="s">
        <v>792</v>
      </c>
      <c r="C132" s="48" t="s">
        <v>788</v>
      </c>
      <c r="D132" s="98">
        <v>54</v>
      </c>
      <c r="E132" s="48" t="s">
        <v>789</v>
      </c>
      <c r="F132" s="48" t="s">
        <v>790</v>
      </c>
      <c r="G132" s="86"/>
      <c r="H132" s="75">
        <v>2021</v>
      </c>
    </row>
    <row r="133" spans="2:9" ht="30">
      <c r="B133" s="48" t="s">
        <v>793</v>
      </c>
      <c r="C133" s="48" t="s">
        <v>788</v>
      </c>
      <c r="D133" s="98">
        <f>19380654/30/25836</f>
        <v>25.004714352066884</v>
      </c>
      <c r="E133" s="48" t="s">
        <v>794</v>
      </c>
      <c r="F133" s="48" t="s">
        <v>790</v>
      </c>
      <c r="G133" s="86"/>
      <c r="H133" s="75">
        <v>2021</v>
      </c>
    </row>
    <row r="134" spans="2:9">
      <c r="B134" s="48" t="s">
        <v>795</v>
      </c>
      <c r="C134" s="48" t="s">
        <v>796</v>
      </c>
      <c r="D134" s="48">
        <v>2.4</v>
      </c>
      <c r="E134" s="48" t="s">
        <v>797</v>
      </c>
      <c r="F134" s="48" t="s">
        <v>798</v>
      </c>
      <c r="G134" s="118"/>
      <c r="H134" s="75"/>
    </row>
    <row r="135" spans="2:9" ht="30">
      <c r="B135" s="48" t="s">
        <v>799</v>
      </c>
      <c r="C135" s="48" t="s">
        <v>551</v>
      </c>
      <c r="D135" s="48">
        <f>ROUNDUP(([2]System!$F$13/365)/('Table 1'!$D$134/1000)*[2]System!$I$12,0)</f>
        <v>29</v>
      </c>
      <c r="E135" s="48" t="s">
        <v>800</v>
      </c>
      <c r="F135" s="48" t="s">
        <v>603</v>
      </c>
      <c r="G135" s="48"/>
      <c r="H135" s="75" t="s">
        <v>603</v>
      </c>
    </row>
    <row r="136" spans="2:9" ht="30">
      <c r="B136" s="48" t="s">
        <v>801</v>
      </c>
      <c r="C136" s="88" t="s">
        <v>802</v>
      </c>
      <c r="D136" s="88">
        <v>67166</v>
      </c>
      <c r="E136" s="48" t="s">
        <v>803</v>
      </c>
      <c r="F136" s="48" t="s">
        <v>804</v>
      </c>
      <c r="G136" s="118"/>
      <c r="H136" s="75">
        <v>2020</v>
      </c>
      <c r="I136" s="48" t="s">
        <v>805</v>
      </c>
    </row>
    <row r="137" spans="2:9">
      <c r="B137" s="48" t="s">
        <v>806</v>
      </c>
      <c r="C137" s="88" t="s">
        <v>807</v>
      </c>
      <c r="D137" s="88">
        <v>10.5</v>
      </c>
      <c r="E137" s="48" t="s">
        <v>808</v>
      </c>
      <c r="F137" s="48" t="s">
        <v>809</v>
      </c>
      <c r="G137" s="118"/>
      <c r="H137" s="75">
        <v>2020</v>
      </c>
      <c r="I137" s="48" t="s">
        <v>810</v>
      </c>
    </row>
    <row r="138" spans="2:9">
      <c r="B138" s="48" t="s">
        <v>811</v>
      </c>
      <c r="C138" s="88" t="s">
        <v>807</v>
      </c>
      <c r="D138" s="88">
        <v>1.01</v>
      </c>
      <c r="E138" s="48" t="s">
        <v>808</v>
      </c>
      <c r="F138" s="48" t="s">
        <v>809</v>
      </c>
      <c r="G138" s="118"/>
      <c r="H138" s="75">
        <v>2020</v>
      </c>
      <c r="I138" s="48" t="s">
        <v>810</v>
      </c>
    </row>
    <row r="139" spans="2:9" ht="30">
      <c r="B139" s="48" t="s">
        <v>812</v>
      </c>
      <c r="C139" s="48" t="s">
        <v>774</v>
      </c>
      <c r="D139" s="48">
        <v>1000</v>
      </c>
      <c r="E139" s="48" t="s">
        <v>813</v>
      </c>
      <c r="F139" s="48" t="s">
        <v>809</v>
      </c>
      <c r="G139" s="118"/>
      <c r="H139" s="75">
        <v>2020</v>
      </c>
    </row>
    <row r="140" spans="2:9" ht="30">
      <c r="B140" s="48" t="s">
        <v>814</v>
      </c>
      <c r="C140" s="48" t="s">
        <v>239</v>
      </c>
      <c r="D140" s="110">
        <f>[2]System!$F$12*1000000/1644/27%/80%</f>
        <v>798076.05659187154</v>
      </c>
      <c r="E140" s="48" t="s">
        <v>815</v>
      </c>
      <c r="F140" s="48" t="s">
        <v>613</v>
      </c>
      <c r="G140" s="48"/>
      <c r="H140" s="75">
        <v>2022</v>
      </c>
    </row>
    <row r="141" spans="2:9" ht="30">
      <c r="B141" s="48" t="s">
        <v>816</v>
      </c>
      <c r="C141" s="48" t="s">
        <v>817</v>
      </c>
      <c r="E141" s="48" t="s">
        <v>818</v>
      </c>
      <c r="F141" s="48" t="s">
        <v>819</v>
      </c>
      <c r="G141" s="118"/>
      <c r="H141" s="75">
        <v>2020</v>
      </c>
    </row>
    <row r="142" spans="2:9" ht="30">
      <c r="B142" s="48" t="s">
        <v>820</v>
      </c>
      <c r="C142" s="48" t="s">
        <v>817</v>
      </c>
      <c r="E142" s="48" t="s">
        <v>818</v>
      </c>
      <c r="F142" s="48" t="s">
        <v>819</v>
      </c>
      <c r="G142" s="118"/>
      <c r="H142" s="75">
        <v>2020</v>
      </c>
    </row>
    <row r="143" spans="2:9" ht="30">
      <c r="B143" s="48" t="s">
        <v>821</v>
      </c>
      <c r="C143" s="48" t="s">
        <v>817</v>
      </c>
      <c r="E143" s="48" t="s">
        <v>818</v>
      </c>
      <c r="F143" s="48" t="s">
        <v>819</v>
      </c>
      <c r="G143" s="118"/>
      <c r="H143" s="75">
        <v>2020</v>
      </c>
    </row>
    <row r="144" spans="2:9" ht="45">
      <c r="B144" s="48" t="s">
        <v>822</v>
      </c>
      <c r="C144" s="48" t="s">
        <v>58</v>
      </c>
      <c r="D144" s="98">
        <f>106806*$D$6</f>
        <v>149776.46761560001</v>
      </c>
      <c r="E144" s="48" t="s">
        <v>823</v>
      </c>
      <c r="F144" s="48" t="s">
        <v>824</v>
      </c>
      <c r="G144" s="78"/>
      <c r="H144" s="75">
        <v>2022</v>
      </c>
    </row>
    <row r="145" spans="2:9" ht="45">
      <c r="B145" s="48" t="s">
        <v>825</v>
      </c>
      <c r="C145" s="48" t="s">
        <v>767</v>
      </c>
      <c r="D145" s="98">
        <f>91822*$D$6</f>
        <v>128764.0657772</v>
      </c>
      <c r="E145" s="48" t="s">
        <v>823</v>
      </c>
      <c r="F145" s="48" t="s">
        <v>824</v>
      </c>
      <c r="G145" s="78"/>
      <c r="H145" s="75">
        <v>2022</v>
      </c>
    </row>
    <row r="146" spans="2:9" ht="30">
      <c r="B146" s="48" t="s">
        <v>826</v>
      </c>
      <c r="C146" s="48" t="s">
        <v>780</v>
      </c>
      <c r="D146" s="98">
        <f>0.074*1000000*$D$6</f>
        <v>103771.87239999999</v>
      </c>
      <c r="E146" s="48" t="s">
        <v>827</v>
      </c>
      <c r="F146" s="48" t="s">
        <v>824</v>
      </c>
      <c r="G146" s="78"/>
      <c r="H146" s="75">
        <v>2022</v>
      </c>
    </row>
    <row r="147" spans="2:9" ht="30">
      <c r="B147" s="48" t="s">
        <v>828</v>
      </c>
      <c r="C147" s="48" t="s">
        <v>780</v>
      </c>
      <c r="D147" s="110">
        <v>125000</v>
      </c>
      <c r="E147" s="114" t="s">
        <v>829</v>
      </c>
      <c r="F147" s="48" t="s">
        <v>603</v>
      </c>
      <c r="G147" s="78"/>
      <c r="H147" s="75" t="s">
        <v>603</v>
      </c>
      <c r="I147" s="48" t="s">
        <v>829</v>
      </c>
    </row>
    <row r="148" spans="2:9" ht="30">
      <c r="B148" s="48" t="s">
        <v>830</v>
      </c>
      <c r="C148" s="48" t="s">
        <v>780</v>
      </c>
      <c r="D148" s="110">
        <v>76000</v>
      </c>
      <c r="E148" s="114" t="s">
        <v>829</v>
      </c>
      <c r="F148" s="48" t="s">
        <v>603</v>
      </c>
      <c r="G148" s="78"/>
      <c r="H148" s="75" t="s">
        <v>603</v>
      </c>
      <c r="I148" s="48" t="s">
        <v>829</v>
      </c>
    </row>
    <row r="149" spans="2:9">
      <c r="D149" s="110"/>
      <c r="F149" s="48"/>
      <c r="G149" s="78"/>
      <c r="H149" s="75"/>
    </row>
    <row r="150" spans="2:9" ht="30">
      <c r="B150" s="48" t="s">
        <v>831</v>
      </c>
      <c r="C150" s="48" t="s">
        <v>167</v>
      </c>
      <c r="D150" s="121">
        <v>0.7</v>
      </c>
      <c r="E150" s="48" t="s">
        <v>832</v>
      </c>
      <c r="F150" s="48" t="s">
        <v>602</v>
      </c>
      <c r="G150" s="48"/>
      <c r="H150" s="75" t="s">
        <v>603</v>
      </c>
    </row>
    <row r="151" spans="2:9">
      <c r="B151" s="48" t="s">
        <v>833</v>
      </c>
      <c r="C151" s="48" t="s">
        <v>834</v>
      </c>
      <c r="D151" s="98">
        <v>7000</v>
      </c>
      <c r="E151" s="48" t="s">
        <v>835</v>
      </c>
      <c r="F151" s="48" t="s">
        <v>836</v>
      </c>
      <c r="G151" s="118"/>
      <c r="H151" s="75">
        <v>2017</v>
      </c>
    </row>
    <row r="152" spans="2:9">
      <c r="B152" s="48" t="s">
        <v>837</v>
      </c>
      <c r="C152" s="48" t="s">
        <v>834</v>
      </c>
      <c r="D152" s="98">
        <v>80</v>
      </c>
      <c r="E152" s="48" t="s">
        <v>835</v>
      </c>
      <c r="F152" s="48" t="s">
        <v>836</v>
      </c>
      <c r="G152" s="118"/>
      <c r="H152" s="75">
        <v>2017</v>
      </c>
    </row>
    <row r="153" spans="2:9">
      <c r="B153" s="48" t="s">
        <v>838</v>
      </c>
      <c r="C153" s="48" t="s">
        <v>780</v>
      </c>
      <c r="D153" s="98">
        <f>0.048*1000000</f>
        <v>48000</v>
      </c>
      <c r="E153" s="48" t="s">
        <v>835</v>
      </c>
      <c r="F153" s="48" t="s">
        <v>836</v>
      </c>
      <c r="G153" s="118"/>
      <c r="H153" s="75">
        <v>2017</v>
      </c>
    </row>
    <row r="154" spans="2:9" ht="30">
      <c r="B154" s="48" t="s">
        <v>839</v>
      </c>
      <c r="C154" s="48" t="s">
        <v>58</v>
      </c>
      <c r="D154" s="98">
        <f>3630000*D6</f>
        <v>5090431.0379999997</v>
      </c>
      <c r="E154" s="48" t="s">
        <v>840</v>
      </c>
      <c r="F154" s="48" t="s">
        <v>841</v>
      </c>
      <c r="G154" s="118"/>
      <c r="H154" s="75">
        <v>2018</v>
      </c>
    </row>
    <row r="155" spans="2:9" ht="30">
      <c r="B155" s="48" t="s">
        <v>842</v>
      </c>
      <c r="C155" s="48" t="s">
        <v>167</v>
      </c>
      <c r="D155" s="122">
        <f>32/(17/0.0024)</f>
        <v>4.517647058823529E-3</v>
      </c>
      <c r="E155" s="48" t="s">
        <v>843</v>
      </c>
      <c r="F155" s="48" t="s">
        <v>226</v>
      </c>
      <c r="G155" s="118"/>
      <c r="H155" s="75" t="s">
        <v>226</v>
      </c>
    </row>
    <row r="156" spans="2:9" ht="30">
      <c r="B156" s="48" t="s">
        <v>844</v>
      </c>
      <c r="C156" s="48" t="s">
        <v>203</v>
      </c>
      <c r="D156" s="111">
        <f>4.68*($D$61/10000)/374</f>
        <v>5.9063101604278074</v>
      </c>
      <c r="E156" s="48" t="s">
        <v>845</v>
      </c>
      <c r="F156" s="48" t="s">
        <v>846</v>
      </c>
      <c r="G156" s="86"/>
      <c r="H156" s="75">
        <v>2017</v>
      </c>
    </row>
    <row r="157" spans="2:9" ht="30">
      <c r="B157" s="48" t="s">
        <v>847</v>
      </c>
      <c r="C157" s="48" t="s">
        <v>635</v>
      </c>
      <c r="D157" s="111">
        <f>3.64*($D$61/10000)/374</f>
        <v>4.5937967914438511</v>
      </c>
      <c r="E157" s="48" t="s">
        <v>848</v>
      </c>
      <c r="F157" s="48" t="s">
        <v>846</v>
      </c>
      <c r="G157" s="86"/>
      <c r="H157" s="75">
        <v>2017</v>
      </c>
    </row>
    <row r="158" spans="2:9">
      <c r="B158" s="48" t="s">
        <v>849</v>
      </c>
      <c r="C158" s="48" t="s">
        <v>567</v>
      </c>
      <c r="D158" s="110">
        <f>1100000*10.76391041671</f>
        <v>11840301.458381001</v>
      </c>
      <c r="E158" s="48" t="s">
        <v>850</v>
      </c>
      <c r="F158" s="48" t="s">
        <v>851</v>
      </c>
      <c r="G158" s="118"/>
      <c r="H158" s="75">
        <v>2012</v>
      </c>
    </row>
    <row r="159" spans="2:9" ht="60">
      <c r="B159" s="48" t="s">
        <v>852</v>
      </c>
      <c r="C159" s="48" t="s">
        <v>167</v>
      </c>
      <c r="D159" s="79">
        <f>71.9%</f>
        <v>0.71900000000000008</v>
      </c>
      <c r="E159" s="48" t="s">
        <v>853</v>
      </c>
      <c r="F159" s="48" t="s">
        <v>854</v>
      </c>
      <c r="G159" s="118"/>
      <c r="H159" s="75">
        <v>2021</v>
      </c>
    </row>
    <row r="160" spans="2:9">
      <c r="B160" s="48" t="s">
        <v>855</v>
      </c>
      <c r="C160" s="48" t="s">
        <v>684</v>
      </c>
      <c r="D160" s="117">
        <f>75*$D$6/0.90781474</f>
        <v>115.85424907288903</v>
      </c>
      <c r="E160" s="48" t="s">
        <v>856</v>
      </c>
      <c r="F160" s="48" t="s">
        <v>857</v>
      </c>
      <c r="G160" s="118"/>
      <c r="H160" s="75">
        <v>2019</v>
      </c>
    </row>
    <row r="161" spans="1:9">
      <c r="B161" s="48" t="s">
        <v>858</v>
      </c>
      <c r="C161" s="48" t="s">
        <v>859</v>
      </c>
      <c r="D161" s="117">
        <f>AVERAGE(65.26, 52.51)</f>
        <v>58.885000000000005</v>
      </c>
      <c r="E161" s="48" t="s">
        <v>860</v>
      </c>
      <c r="F161" s="48" t="s">
        <v>861</v>
      </c>
      <c r="G161" s="118"/>
      <c r="H161" s="75">
        <v>2020</v>
      </c>
    </row>
    <row r="162" spans="1:9" s="48" customFormat="1">
      <c r="A162" s="72"/>
      <c r="H162" s="75"/>
    </row>
    <row r="163" spans="1:9">
      <c r="A163" s="67"/>
      <c r="B163" s="68" t="s">
        <v>862</v>
      </c>
      <c r="C163" s="69"/>
      <c r="D163" s="69"/>
      <c r="E163" s="69"/>
      <c r="F163" s="70"/>
      <c r="G163" s="70"/>
      <c r="H163" s="85"/>
      <c r="I163" s="69"/>
    </row>
    <row r="164" spans="1:9">
      <c r="B164" s="48" t="s">
        <v>863</v>
      </c>
      <c r="C164" s="71" t="s">
        <v>688</v>
      </c>
      <c r="D164" s="110">
        <v>45503904</v>
      </c>
      <c r="E164" s="114"/>
      <c r="F164" s="48" t="s">
        <v>864</v>
      </c>
      <c r="G164" s="118"/>
      <c r="H164" s="75">
        <v>201</v>
      </c>
    </row>
    <row r="165" spans="1:9">
      <c r="B165" s="48" t="s">
        <v>865</v>
      </c>
      <c r="C165" s="71" t="s">
        <v>688</v>
      </c>
      <c r="D165" s="110">
        <v>65000000</v>
      </c>
      <c r="E165" s="48" t="s">
        <v>866</v>
      </c>
      <c r="F165" t="s">
        <v>867</v>
      </c>
      <c r="G165" s="118"/>
      <c r="H165" s="75">
        <v>2022</v>
      </c>
    </row>
    <row r="166" spans="1:9">
      <c r="B166" s="48" t="s">
        <v>868</v>
      </c>
      <c r="C166" s="71" t="s">
        <v>167</v>
      </c>
      <c r="D166" s="76">
        <f>($D$165/$D$164)^(1/10)-1</f>
        <v>3.6302318551961088E-2</v>
      </c>
      <c r="E166" s="114"/>
      <c r="F166" s="48" t="s">
        <v>603</v>
      </c>
      <c r="G166" s="48"/>
      <c r="H166" s="75" t="s">
        <v>603</v>
      </c>
    </row>
    <row r="167" spans="1:9">
      <c r="B167" s="48" t="s">
        <v>869</v>
      </c>
      <c r="C167" s="48" t="s">
        <v>167</v>
      </c>
      <c r="D167" s="83">
        <v>0.8</v>
      </c>
      <c r="E167" s="114"/>
      <c r="F167" s="48" t="s">
        <v>870</v>
      </c>
      <c r="G167" s="118"/>
      <c r="H167" s="75">
        <v>2019</v>
      </c>
      <c r="I167" s="48" t="s">
        <v>871</v>
      </c>
    </row>
    <row r="168" spans="1:9">
      <c r="B168" s="48" t="s">
        <v>872</v>
      </c>
      <c r="C168" s="48" t="s">
        <v>684</v>
      </c>
      <c r="D168" s="110">
        <v>5</v>
      </c>
      <c r="F168" s="48" t="s">
        <v>873</v>
      </c>
      <c r="G168" s="114"/>
      <c r="H168" s="75">
        <v>2022</v>
      </c>
    </row>
    <row r="169" spans="1:9">
      <c r="F169" s="48"/>
      <c r="G169" s="48"/>
      <c r="H169" s="75"/>
    </row>
    <row r="170" spans="1:9" ht="15" customHeight="1">
      <c r="A170" s="67"/>
      <c r="B170" s="68" t="s">
        <v>874</v>
      </c>
      <c r="C170" s="69"/>
      <c r="D170" s="69"/>
      <c r="E170" s="69"/>
      <c r="F170" s="70"/>
      <c r="G170" s="70"/>
      <c r="H170" s="85"/>
      <c r="I170" s="69"/>
    </row>
    <row r="171" spans="1:9">
      <c r="F171" s="48"/>
      <c r="G171" s="48"/>
      <c r="H171" s="75"/>
    </row>
    <row r="172" spans="1:9">
      <c r="B172" s="88" t="s">
        <v>225</v>
      </c>
      <c r="C172" s="48" t="s">
        <v>58</v>
      </c>
      <c r="D172" s="110">
        <v>126634000</v>
      </c>
      <c r="F172" s="48" t="s">
        <v>226</v>
      </c>
      <c r="G172" s="48"/>
      <c r="H172" s="75" t="s">
        <v>226</v>
      </c>
    </row>
    <row r="173" spans="1:9">
      <c r="B173" s="48" t="s">
        <v>227</v>
      </c>
      <c r="C173" s="48" t="s">
        <v>58</v>
      </c>
      <c r="D173" s="123">
        <v>127667000</v>
      </c>
      <c r="F173" s="48" t="s">
        <v>226</v>
      </c>
      <c r="G173" s="48"/>
      <c r="H173" s="75" t="s">
        <v>226</v>
      </c>
    </row>
    <row r="174" spans="1:9">
      <c r="B174" s="48" t="s">
        <v>228</v>
      </c>
      <c r="C174" s="48" t="s">
        <v>58</v>
      </c>
      <c r="D174" s="110">
        <v>59866000</v>
      </c>
      <c r="F174" s="48" t="s">
        <v>226</v>
      </c>
      <c r="G174" s="48"/>
      <c r="H174" s="75" t="s">
        <v>226</v>
      </c>
    </row>
    <row r="175" spans="1:9">
      <c r="B175" s="48" t="s">
        <v>229</v>
      </c>
      <c r="C175" s="48" t="s">
        <v>58</v>
      </c>
      <c r="D175" s="110">
        <v>17776000</v>
      </c>
      <c r="F175" s="48" t="s">
        <v>226</v>
      </c>
      <c r="G175" s="48"/>
      <c r="H175" s="75" t="s">
        <v>226</v>
      </c>
    </row>
    <row r="176" spans="1:9" s="48" customFormat="1" ht="45">
      <c r="A176" s="72"/>
      <c r="B176" s="48" t="s">
        <v>230</v>
      </c>
      <c r="C176" s="48" t="s">
        <v>138</v>
      </c>
      <c r="D176" s="110">
        <f>AVERAGE(2445,2595)</f>
        <v>2520</v>
      </c>
      <c r="E176" s="48" t="s">
        <v>231</v>
      </c>
      <c r="F176" t="s">
        <v>232</v>
      </c>
      <c r="G176" s="9"/>
      <c r="H176" s="75">
        <v>2022</v>
      </c>
    </row>
    <row r="177" spans="1:8" s="48" customFormat="1">
      <c r="A177" s="72"/>
      <c r="B177" s="48" t="s">
        <v>233</v>
      </c>
      <c r="C177" s="48" t="s">
        <v>138</v>
      </c>
      <c r="D177" s="110">
        <f>2100*1.026911088</f>
        <v>2156.5132848000003</v>
      </c>
      <c r="E177" s="48" t="s">
        <v>234</v>
      </c>
      <c r="F177" t="s">
        <v>235</v>
      </c>
      <c r="G177" s="9"/>
      <c r="H177" s="75">
        <v>2018</v>
      </c>
    </row>
    <row r="178" spans="1:8" s="48" customFormat="1">
      <c r="A178" s="72"/>
      <c r="B178" s="48" t="s">
        <v>236</v>
      </c>
      <c r="C178" s="48" t="s">
        <v>58</v>
      </c>
      <c r="D178" s="110">
        <v>340904675</v>
      </c>
      <c r="E178" s="48" t="s">
        <v>237</v>
      </c>
      <c r="F178" s="9"/>
      <c r="G178" s="9"/>
      <c r="H178" s="75"/>
    </row>
    <row r="179" spans="1:8" s="48" customFormat="1">
      <c r="A179" s="72"/>
      <c r="B179" s="48" t="s">
        <v>238</v>
      </c>
      <c r="C179" s="48" t="s">
        <v>239</v>
      </c>
      <c r="D179" s="123">
        <v>130982800</v>
      </c>
      <c r="E179" s="48" t="s">
        <v>240</v>
      </c>
      <c r="F179" s="9" t="s">
        <v>241</v>
      </c>
      <c r="G179" s="9"/>
      <c r="H179" s="75">
        <v>2021</v>
      </c>
    </row>
    <row r="180" spans="1:8" s="48" customFormat="1">
      <c r="A180" s="72"/>
      <c r="B180" s="48" t="s">
        <v>242</v>
      </c>
      <c r="C180" s="48" t="s">
        <v>138</v>
      </c>
      <c r="D180" s="101">
        <f>$D$178/$D$179</f>
        <v>2.6026674876395983</v>
      </c>
      <c r="E180" s="48" t="s">
        <v>240</v>
      </c>
      <c r="F180" s="9" t="s">
        <v>241</v>
      </c>
      <c r="G180" s="9"/>
      <c r="H180" s="75">
        <v>2021</v>
      </c>
    </row>
  </sheetData>
  <mergeCells count="1">
    <mergeCell ref="H9:H1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9849E-A665-8A41-BCBC-F2D7513BC23F}">
  <sheetPr>
    <tabColor theme="8" tint="-0.249977111117893"/>
    <pageSetUpPr autoPageBreaks="0"/>
  </sheetPr>
  <dimension ref="A1:J226"/>
  <sheetViews>
    <sheetView workbookViewId="0">
      <selection activeCell="B126" sqref="B126"/>
    </sheetView>
  </sheetViews>
  <sheetFormatPr defaultColWidth="9.140625" defaultRowHeight="15"/>
  <cols>
    <col min="1" max="1" width="7.42578125" style="72" customWidth="1"/>
    <col min="2" max="2" width="60.42578125" style="48" customWidth="1"/>
    <col min="3" max="3" width="22.42578125" style="48" customWidth="1"/>
    <col min="4" max="4" width="19" style="48" customWidth="1"/>
    <col min="5" max="5" width="77.7109375" style="48" customWidth="1"/>
    <col min="6" max="6" width="33" style="71" customWidth="1"/>
    <col min="7" max="7" width="15.7109375" style="71" customWidth="1"/>
    <col min="8" max="8" width="12.28515625" style="48" customWidth="1"/>
    <col min="9" max="9" width="56.42578125" style="48" customWidth="1"/>
    <col min="10" max="16384" width="9.140625" style="71"/>
  </cols>
  <sheetData>
    <row r="1" spans="1:9" s="66" customFormat="1" ht="18.75">
      <c r="A1" s="64"/>
      <c r="B1" s="65" t="s">
        <v>46</v>
      </c>
      <c r="C1" s="65" t="s">
        <v>47</v>
      </c>
      <c r="D1" s="65" t="s">
        <v>48</v>
      </c>
      <c r="E1" s="65" t="s">
        <v>504</v>
      </c>
      <c r="F1" s="65" t="s">
        <v>50</v>
      </c>
      <c r="G1" s="65"/>
      <c r="H1" s="65" t="s">
        <v>442</v>
      </c>
      <c r="I1" s="65" t="s">
        <v>505</v>
      </c>
    </row>
    <row r="2" spans="1:9" ht="30">
      <c r="B2" s="48" t="s">
        <v>875</v>
      </c>
      <c r="C2" s="48" t="s">
        <v>167</v>
      </c>
      <c r="D2" s="124">
        <f>0.48*0.27*0.05</f>
        <v>6.4799999999999996E-3</v>
      </c>
      <c r="E2" s="48" t="s">
        <v>876</v>
      </c>
      <c r="F2" s="71" t="s">
        <v>538</v>
      </c>
      <c r="H2" s="75">
        <v>2008</v>
      </c>
    </row>
    <row r="3" spans="1:9" ht="30">
      <c r="B3" s="48" t="s">
        <v>877</v>
      </c>
      <c r="C3" s="48" t="s">
        <v>167</v>
      </c>
      <c r="D3" s="83">
        <v>0.02</v>
      </c>
      <c r="E3" s="48" t="s">
        <v>878</v>
      </c>
      <c r="F3" t="s">
        <v>879</v>
      </c>
      <c r="G3" s="118"/>
      <c r="H3" s="75">
        <v>2005</v>
      </c>
      <c r="I3" s="48" t="s">
        <v>880</v>
      </c>
    </row>
    <row r="4" spans="1:9" ht="60">
      <c r="B4" s="48" t="s">
        <v>881</v>
      </c>
      <c r="C4" s="48" t="s">
        <v>167</v>
      </c>
      <c r="D4" s="125">
        <v>0.03</v>
      </c>
      <c r="E4" s="48" t="s">
        <v>882</v>
      </c>
      <c r="F4" s="71" t="s">
        <v>883</v>
      </c>
      <c r="H4" s="75">
        <v>2018</v>
      </c>
      <c r="I4" s="48" t="s">
        <v>884</v>
      </c>
    </row>
    <row r="5" spans="1:9" ht="30">
      <c r="B5" s="48" t="s">
        <v>885</v>
      </c>
      <c r="C5" s="48" t="s">
        <v>834</v>
      </c>
      <c r="D5" s="101">
        <f>181.67*'Table 1'!$D$6</f>
        <v>254.75994674199998</v>
      </c>
      <c r="E5" s="48" t="s">
        <v>886</v>
      </c>
      <c r="F5" s="71" t="s">
        <v>887</v>
      </c>
      <c r="H5" s="75">
        <v>2022</v>
      </c>
    </row>
    <row r="6" spans="1:9" ht="30">
      <c r="B6" s="48" t="s">
        <v>888</v>
      </c>
      <c r="C6" s="48" t="s">
        <v>834</v>
      </c>
      <c r="D6" s="101">
        <f>85.97*'Table 1'!$D$6</f>
        <v>120.55767392199999</v>
      </c>
      <c r="E6" s="48" t="s">
        <v>889</v>
      </c>
      <c r="F6" s="71" t="s">
        <v>887</v>
      </c>
      <c r="H6" s="75">
        <v>2022</v>
      </c>
    </row>
    <row r="7" spans="1:9">
      <c r="B7" s="48" t="s">
        <v>890</v>
      </c>
      <c r="C7" s="48" t="s">
        <v>834</v>
      </c>
      <c r="D7" s="101">
        <f>18.23*'Table 1'!$D$6</f>
        <v>25.564340997999999</v>
      </c>
      <c r="E7" s="48" t="s">
        <v>891</v>
      </c>
      <c r="F7" s="71" t="s">
        <v>887</v>
      </c>
      <c r="H7" s="75">
        <v>2022</v>
      </c>
    </row>
    <row r="8" spans="1:9">
      <c r="B8" s="48" t="s">
        <v>892</v>
      </c>
      <c r="C8" s="48" t="s">
        <v>767</v>
      </c>
      <c r="D8" s="110">
        <f>93889*1.00863873596069</f>
        <v>94700.082280613235</v>
      </c>
      <c r="E8" s="48" t="s">
        <v>893</v>
      </c>
      <c r="F8" s="48" t="s">
        <v>668</v>
      </c>
      <c r="H8" s="75">
        <v>2015</v>
      </c>
    </row>
    <row r="9" spans="1:9">
      <c r="B9" s="48" t="s">
        <v>894</v>
      </c>
      <c r="C9" s="48" t="s">
        <v>895</v>
      </c>
      <c r="D9" s="101">
        <f>'Table 1'!$D$81*'Table 1'!$D$84/'Table 1'!$D$76</f>
        <v>27.681442568684776</v>
      </c>
      <c r="F9" s="48" t="s">
        <v>603</v>
      </c>
      <c r="H9" s="75" t="s">
        <v>603</v>
      </c>
    </row>
    <row r="10" spans="1:9" ht="45">
      <c r="B10" s="48" t="s">
        <v>896</v>
      </c>
      <c r="C10" s="48" t="s">
        <v>897</v>
      </c>
      <c r="D10" s="98">
        <f>145678079.89*1.41%</f>
        <v>2054060.9264489997</v>
      </c>
      <c r="E10" s="48" t="s">
        <v>898</v>
      </c>
      <c r="F10" s="48" t="s">
        <v>899</v>
      </c>
      <c r="H10" s="75" t="s">
        <v>900</v>
      </c>
    </row>
    <row r="11" spans="1:9" ht="30">
      <c r="B11" s="48" t="s">
        <v>901</v>
      </c>
      <c r="C11" s="48" t="s">
        <v>155</v>
      </c>
      <c r="D11" s="113">
        <v>4.24</v>
      </c>
      <c r="E11" s="48" t="s">
        <v>902</v>
      </c>
      <c r="F11" s="48" t="s">
        <v>903</v>
      </c>
      <c r="G11" s="109"/>
      <c r="H11" s="75"/>
      <c r="I11" s="48" t="s">
        <v>904</v>
      </c>
    </row>
    <row r="12" spans="1:9" ht="30">
      <c r="B12" s="48" t="s">
        <v>905</v>
      </c>
      <c r="C12" s="48" t="s">
        <v>182</v>
      </c>
      <c r="D12" s="98">
        <f>'Table 1'!$D$92*'Table 1'!$D$93*(1-'Table 1'!$D$94)</f>
        <v>4.1614678899082573</v>
      </c>
      <c r="E12" s="48" t="s">
        <v>906</v>
      </c>
      <c r="F12" s="48" t="s">
        <v>603</v>
      </c>
      <c r="G12" s="98"/>
      <c r="H12" s="75" t="s">
        <v>603</v>
      </c>
    </row>
    <row r="13" spans="1:9" ht="75">
      <c r="B13" s="48" t="s">
        <v>907</v>
      </c>
      <c r="C13" s="48" t="s">
        <v>908</v>
      </c>
      <c r="D13" s="98">
        <f>13.65*'Table 1'!$D$7</f>
        <v>22.04561541</v>
      </c>
      <c r="E13" s="48" t="s">
        <v>909</v>
      </c>
      <c r="F13" s="48" t="s">
        <v>910</v>
      </c>
      <c r="G13" s="48"/>
      <c r="H13" s="75">
        <v>2020</v>
      </c>
    </row>
    <row r="14" spans="1:9" ht="30">
      <c r="B14" s="48" t="s">
        <v>911</v>
      </c>
      <c r="C14" s="48" t="s">
        <v>182</v>
      </c>
      <c r="D14" s="98">
        <f>'Table 1'!$D$96/'Table 1'!$D$23*'Table 1'!$D$95*(1-'Table 1'!$D$97)</f>
        <v>0.83152293577981651</v>
      </c>
      <c r="E14" s="48" t="s">
        <v>912</v>
      </c>
      <c r="F14" s="48" t="s">
        <v>603</v>
      </c>
      <c r="G14" s="48"/>
      <c r="H14" s="75" t="s">
        <v>603</v>
      </c>
    </row>
    <row r="15" spans="1:9" ht="75">
      <c r="B15" s="48" t="s">
        <v>181</v>
      </c>
      <c r="C15" s="48" t="s">
        <v>182</v>
      </c>
      <c r="D15" s="98">
        <v>2834.9</v>
      </c>
      <c r="E15" s="88" t="s">
        <v>913</v>
      </c>
      <c r="F15" s="88" t="s">
        <v>914</v>
      </c>
      <c r="G15" s="114"/>
      <c r="H15" s="75">
        <v>2021</v>
      </c>
      <c r="I15" s="114"/>
    </row>
    <row r="16" spans="1:9" ht="30">
      <c r="B16" s="48" t="s">
        <v>915</v>
      </c>
      <c r="C16" s="48" t="s">
        <v>167</v>
      </c>
      <c r="D16" s="76">
        <f>(10.2-15.5)/(90-10)*(([2]System!$H$9/'Table 1'!$D$61))</f>
        <v>-1.880826271186441E-2</v>
      </c>
      <c r="E16" s="48" t="s">
        <v>916</v>
      </c>
      <c r="F16" s="48" t="s">
        <v>169</v>
      </c>
      <c r="G16" s="118"/>
      <c r="H16" s="75">
        <v>2006</v>
      </c>
    </row>
    <row r="17" spans="1:8" ht="45">
      <c r="B17" s="48" t="s">
        <v>157</v>
      </c>
      <c r="C17" s="48" t="s">
        <v>244</v>
      </c>
      <c r="D17" s="98">
        <f>11922*1000000*0.13/'Table 1'!$D$65</f>
        <v>2.1144065484311052</v>
      </c>
      <c r="E17" s="48" t="s">
        <v>159</v>
      </c>
      <c r="F17" s="48" t="s">
        <v>917</v>
      </c>
      <c r="G17" s="118"/>
      <c r="H17" s="126" t="s">
        <v>918</v>
      </c>
    </row>
    <row r="18" spans="1:8" ht="75">
      <c r="B18" s="48" t="s">
        <v>170</v>
      </c>
      <c r="C18" s="48" t="s">
        <v>919</v>
      </c>
      <c r="D18" s="98">
        <f>AVERAGE(125.8,129.1)*1000000/AVERAGE(0.7,0.9)/2140000/(2032-2026)*'Table 1'!$D$8*0.938/0.96</f>
        <v>11.568360951826159</v>
      </c>
      <c r="E18" s="48" t="s">
        <v>920</v>
      </c>
      <c r="F18" s="48" t="s">
        <v>921</v>
      </c>
      <c r="G18" s="118"/>
      <c r="H18" s="75" t="s">
        <v>922</v>
      </c>
    </row>
    <row r="19" spans="1:8" ht="90" customHeight="1">
      <c r="B19" s="48" t="s">
        <v>923</v>
      </c>
      <c r="C19" s="71" t="s">
        <v>167</v>
      </c>
      <c r="D19" s="76">
        <f>AVERAGE(33,40)/100</f>
        <v>0.36499999999999999</v>
      </c>
      <c r="E19" s="127" t="s">
        <v>924</v>
      </c>
      <c r="F19" s="48" t="s">
        <v>925</v>
      </c>
      <c r="G19" s="118"/>
      <c r="H19" s="75">
        <v>2014</v>
      </c>
    </row>
    <row r="20" spans="1:8">
      <c r="B20" s="48" t="s">
        <v>926</v>
      </c>
      <c r="C20" s="71" t="s">
        <v>927</v>
      </c>
      <c r="D20" s="117">
        <f>AVERAGE(6,16)*1.0033674066864</f>
        <v>11.037041473550399</v>
      </c>
      <c r="E20" s="48" t="s">
        <v>928</v>
      </c>
      <c r="F20" s="48" t="s">
        <v>668</v>
      </c>
      <c r="G20" s="118"/>
      <c r="H20" s="75">
        <v>2015</v>
      </c>
    </row>
    <row r="21" spans="1:8" ht="45">
      <c r="B21" s="48" t="s">
        <v>929</v>
      </c>
      <c r="C21" s="48" t="s">
        <v>190</v>
      </c>
      <c r="D21" s="117">
        <f>2.68*'Table 1'!$D$8*1.0307586313364</f>
        <v>2.6360107111883928</v>
      </c>
      <c r="E21" s="48" t="s">
        <v>930</v>
      </c>
      <c r="F21" s="48" t="s">
        <v>931</v>
      </c>
      <c r="G21" s="118"/>
      <c r="H21" s="75">
        <v>2018</v>
      </c>
    </row>
    <row r="22" spans="1:8" ht="45">
      <c r="B22" s="48" t="s">
        <v>932</v>
      </c>
      <c r="C22" s="48" t="s">
        <v>788</v>
      </c>
      <c r="D22" s="98">
        <f>(58985393/30)/25836</f>
        <v>76.10232879186664</v>
      </c>
      <c r="E22" s="48" t="s">
        <v>933</v>
      </c>
      <c r="F22" s="48" t="s">
        <v>790</v>
      </c>
      <c r="G22" s="118"/>
      <c r="H22" s="75">
        <v>2021</v>
      </c>
    </row>
    <row r="23" spans="1:8" ht="75">
      <c r="B23" s="48" t="s">
        <v>150</v>
      </c>
      <c r="C23" s="48" t="s">
        <v>934</v>
      </c>
      <c r="D23" s="98">
        <f>0.8481*1000/3600*('Table 1'!$D$125)*365</f>
        <v>27.758533270416663</v>
      </c>
      <c r="E23" s="48" t="s">
        <v>935</v>
      </c>
      <c r="F23" s="48" t="s">
        <v>936</v>
      </c>
      <c r="G23"/>
      <c r="H23" s="75" t="s">
        <v>548</v>
      </c>
    </row>
    <row r="24" spans="1:8">
      <c r="A24" s="67"/>
      <c r="B24" s="104"/>
    </row>
    <row r="25" spans="1:8">
      <c r="C25" s="73"/>
      <c r="D25" s="128"/>
      <c r="H25" s="75"/>
    </row>
    <row r="26" spans="1:8">
      <c r="D26" s="129"/>
      <c r="F26"/>
      <c r="H26" s="75"/>
    </row>
    <row r="27" spans="1:8">
      <c r="D27" s="130"/>
      <c r="F27"/>
      <c r="G27" s="131"/>
      <c r="H27" s="75"/>
    </row>
    <row r="28" spans="1:8">
      <c r="D28" s="130"/>
      <c r="H28" s="75"/>
    </row>
    <row r="29" spans="1:8">
      <c r="D29" s="130"/>
      <c r="F29"/>
      <c r="G29" s="131"/>
      <c r="H29" s="75"/>
    </row>
    <row r="30" spans="1:8">
      <c r="D30" s="132"/>
      <c r="F30"/>
      <c r="G30" s="80"/>
      <c r="H30" s="407"/>
    </row>
    <row r="31" spans="1:8">
      <c r="D31" s="132"/>
      <c r="G31" s="80"/>
      <c r="H31" s="407"/>
    </row>
    <row r="32" spans="1:8">
      <c r="D32" s="132"/>
      <c r="G32" s="80"/>
      <c r="H32" s="407"/>
    </row>
    <row r="33" spans="1:9">
      <c r="D33" s="129"/>
      <c r="H33" s="81"/>
    </row>
    <row r="34" spans="1:9">
      <c r="D34" s="133"/>
      <c r="H34" s="81"/>
    </row>
    <row r="35" spans="1:9">
      <c r="D35" s="83"/>
      <c r="H35" s="81"/>
    </row>
    <row r="36" spans="1:9">
      <c r="D36" s="134"/>
      <c r="H36" s="75"/>
    </row>
    <row r="37" spans="1:9">
      <c r="D37" s="73"/>
      <c r="H37" s="75"/>
    </row>
    <row r="38" spans="1:9">
      <c r="D38" s="73"/>
      <c r="H38" s="75"/>
    </row>
    <row r="39" spans="1:9">
      <c r="A39" s="67"/>
      <c r="B39" s="104"/>
      <c r="H39" s="75"/>
    </row>
    <row r="40" spans="1:9">
      <c r="D40" s="83"/>
      <c r="H40" s="75"/>
    </row>
    <row r="41" spans="1:9">
      <c r="B41" s="86"/>
      <c r="D41" s="129"/>
      <c r="H41" s="75"/>
    </row>
    <row r="42" spans="1:9">
      <c r="H42" s="75"/>
    </row>
    <row r="43" spans="1:9">
      <c r="A43" s="67"/>
      <c r="B43" s="104"/>
      <c r="H43" s="75"/>
    </row>
    <row r="44" spans="1:9">
      <c r="D44" s="134"/>
      <c r="G44" s="131"/>
      <c r="H44" s="75"/>
    </row>
    <row r="45" spans="1:9">
      <c r="D45" s="129"/>
      <c r="H45" s="75"/>
    </row>
    <row r="46" spans="1:9" s="90" customFormat="1">
      <c r="A46" s="87"/>
      <c r="B46" s="88"/>
      <c r="C46" s="88"/>
      <c r="D46" s="135"/>
      <c r="E46" s="48"/>
      <c r="F46" s="71"/>
      <c r="H46" s="91"/>
      <c r="I46" s="88"/>
    </row>
    <row r="47" spans="1:9" s="90" customFormat="1">
      <c r="A47" s="87"/>
      <c r="B47" s="94"/>
      <c r="C47" s="94"/>
      <c r="D47" s="136"/>
      <c r="E47" s="48"/>
      <c r="F47" s="71"/>
      <c r="G47" s="131"/>
      <c r="H47" s="91"/>
      <c r="I47" s="88"/>
    </row>
    <row r="48" spans="1:9" s="90" customFormat="1">
      <c r="A48" s="87"/>
      <c r="B48" s="94"/>
      <c r="C48" s="94"/>
      <c r="D48" s="136"/>
      <c r="E48" s="48"/>
      <c r="F48" s="71"/>
      <c r="G48" s="131"/>
      <c r="H48" s="91"/>
      <c r="I48" s="88"/>
    </row>
    <row r="49" spans="2:9">
      <c r="D49" s="137"/>
      <c r="H49" s="75"/>
    </row>
    <row r="50" spans="2:9">
      <c r="B50" s="71"/>
      <c r="D50" s="75"/>
      <c r="F50"/>
      <c r="G50" s="131"/>
      <c r="H50" s="75"/>
    </row>
    <row r="51" spans="2:9">
      <c r="D51" s="73"/>
      <c r="H51" s="81"/>
    </row>
    <row r="52" spans="2:9" ht="15" customHeight="1">
      <c r="D52" s="73"/>
      <c r="G52" s="138"/>
      <c r="H52" s="75"/>
    </row>
    <row r="53" spans="2:9">
      <c r="D53" s="73"/>
      <c r="G53" s="138"/>
      <c r="H53" s="75"/>
    </row>
    <row r="54" spans="2:9" ht="15" customHeight="1">
      <c r="C54" s="71"/>
      <c r="G54" s="139"/>
      <c r="H54" s="75"/>
    </row>
    <row r="55" spans="2:9">
      <c r="C55" s="71"/>
      <c r="G55" s="139"/>
      <c r="H55" s="75"/>
    </row>
    <row r="56" spans="2:9">
      <c r="C56" s="71"/>
      <c r="D56" s="140"/>
      <c r="G56" s="139"/>
      <c r="H56" s="75"/>
    </row>
    <row r="57" spans="2:9">
      <c r="C57" s="71"/>
      <c r="D57" s="140"/>
      <c r="G57" s="139"/>
      <c r="H57" s="75"/>
    </row>
    <row r="58" spans="2:9" ht="45" customHeight="1">
      <c r="C58" s="71"/>
      <c r="D58" s="140"/>
      <c r="G58" s="139"/>
      <c r="H58" s="75"/>
      <c r="I58" s="72"/>
    </row>
    <row r="59" spans="2:9" ht="15" customHeight="1">
      <c r="C59" s="71"/>
      <c r="D59" s="129"/>
      <c r="G59" s="139"/>
      <c r="H59" s="75"/>
    </row>
    <row r="60" spans="2:9">
      <c r="C60" s="71"/>
      <c r="D60" s="129"/>
      <c r="G60" s="139"/>
      <c r="H60" s="75"/>
    </row>
    <row r="61" spans="2:9">
      <c r="C61" s="71"/>
      <c r="D61" s="129"/>
      <c r="G61" s="139"/>
      <c r="H61" s="75"/>
    </row>
    <row r="62" spans="2:9">
      <c r="D62" s="134"/>
      <c r="H62" s="75"/>
    </row>
    <row r="63" spans="2:9">
      <c r="D63" s="83"/>
      <c r="H63" s="75"/>
    </row>
    <row r="64" spans="2:9">
      <c r="D64" s="83"/>
      <c r="H64" s="75"/>
    </row>
    <row r="65" spans="1:10">
      <c r="D65" s="83"/>
      <c r="H65" s="75"/>
    </row>
    <row r="66" spans="1:10">
      <c r="H66" s="75"/>
    </row>
    <row r="67" spans="1:10">
      <c r="A67" s="67"/>
      <c r="B67" s="104"/>
      <c r="H67" s="75"/>
    </row>
    <row r="68" spans="1:10">
      <c r="F68" s="48"/>
      <c r="G68" s="48"/>
      <c r="H68" s="75"/>
    </row>
    <row r="69" spans="1:10" s="48" customFormat="1">
      <c r="A69" s="72"/>
      <c r="D69" s="101"/>
      <c r="G69" s="102"/>
      <c r="H69" s="75"/>
      <c r="J69" s="71"/>
    </row>
    <row r="70" spans="1:10" s="48" customFormat="1">
      <c r="A70" s="72"/>
      <c r="D70" s="83"/>
      <c r="G70" s="102"/>
      <c r="H70" s="75"/>
      <c r="J70" s="71"/>
    </row>
    <row r="71" spans="1:10" s="48" customFormat="1">
      <c r="A71" s="72"/>
      <c r="D71" s="83"/>
      <c r="G71" s="71"/>
      <c r="H71" s="75"/>
      <c r="J71" s="71"/>
    </row>
    <row r="72" spans="1:10" s="48" customFormat="1">
      <c r="A72" s="72"/>
      <c r="D72" s="83"/>
      <c r="G72" s="102"/>
      <c r="H72" s="75"/>
      <c r="J72" s="71"/>
    </row>
    <row r="73" spans="1:10" s="48" customFormat="1">
      <c r="A73" s="72"/>
      <c r="D73" s="83"/>
      <c r="G73" s="102"/>
      <c r="H73" s="75"/>
      <c r="J73" s="71"/>
    </row>
    <row r="74" spans="1:10" s="48" customFormat="1">
      <c r="A74" s="72"/>
      <c r="D74" s="83"/>
      <c r="F74"/>
      <c r="G74" s="141"/>
      <c r="H74" s="75"/>
      <c r="J74" s="71"/>
    </row>
    <row r="75" spans="1:10" s="48" customFormat="1">
      <c r="A75" s="72"/>
      <c r="D75" s="73"/>
      <c r="G75" s="141"/>
      <c r="H75" s="75"/>
      <c r="J75" s="71"/>
    </row>
    <row r="76" spans="1:10" s="48" customFormat="1">
      <c r="A76" s="72"/>
      <c r="D76" s="83"/>
      <c r="G76" s="102"/>
      <c r="H76" s="75"/>
      <c r="J76" s="71"/>
    </row>
    <row r="77" spans="1:10" s="48" customFormat="1">
      <c r="A77" s="72"/>
      <c r="H77" s="75"/>
      <c r="J77" s="71"/>
    </row>
    <row r="78" spans="1:10" s="48" customFormat="1">
      <c r="A78" s="72"/>
      <c r="D78" s="83"/>
      <c r="H78" s="75"/>
      <c r="J78" s="71"/>
    </row>
    <row r="79" spans="1:10" s="48" customFormat="1">
      <c r="A79" s="72"/>
      <c r="D79" s="140"/>
      <c r="H79" s="75"/>
      <c r="J79" s="71"/>
    </row>
    <row r="80" spans="1:10" s="48" customFormat="1">
      <c r="A80" s="72"/>
      <c r="D80" s="140"/>
      <c r="H80" s="75"/>
      <c r="J80" s="71"/>
    </row>
    <row r="81" spans="1:10" s="48" customFormat="1">
      <c r="A81" s="72"/>
      <c r="D81" s="140"/>
      <c r="H81" s="75"/>
      <c r="J81" s="71"/>
    </row>
    <row r="82" spans="1:10" s="88" customFormat="1">
      <c r="A82" s="87"/>
      <c r="B82" s="105"/>
      <c r="C82" s="105"/>
      <c r="D82" s="106"/>
      <c r="E82" s="48"/>
      <c r="F82" s="48"/>
      <c r="H82" s="91"/>
    </row>
    <row r="83" spans="1:10" s="48" customFormat="1">
      <c r="A83" s="72"/>
      <c r="D83" s="140"/>
      <c r="H83" s="75"/>
    </row>
    <row r="84" spans="1:10" s="48" customFormat="1">
      <c r="A84" s="72"/>
      <c r="D84" s="140"/>
      <c r="H84" s="75"/>
    </row>
    <row r="85" spans="1:10" s="48" customFormat="1">
      <c r="A85" s="72"/>
      <c r="C85" s="71"/>
      <c r="D85" s="142"/>
      <c r="G85" s="71"/>
      <c r="H85" s="75"/>
    </row>
    <row r="86" spans="1:10" s="48" customFormat="1">
      <c r="A86" s="72"/>
      <c r="D86" s="143"/>
      <c r="F86"/>
      <c r="G86" s="131"/>
      <c r="H86" s="75"/>
    </row>
    <row r="87" spans="1:10" s="48" customFormat="1">
      <c r="A87" s="72"/>
      <c r="D87" s="143"/>
      <c r="F87"/>
      <c r="G87" s="71"/>
      <c r="H87" s="75"/>
    </row>
    <row r="88" spans="1:10">
      <c r="D88" s="140"/>
      <c r="F88"/>
      <c r="G88" s="131"/>
      <c r="H88" s="75"/>
    </row>
    <row r="89" spans="1:10">
      <c r="D89" s="144"/>
      <c r="F89" s="48"/>
      <c r="G89" s="131"/>
      <c r="H89" s="75"/>
    </row>
    <row r="90" spans="1:10">
      <c r="D90" s="145"/>
      <c r="F90" s="48"/>
      <c r="G90" s="131"/>
      <c r="H90" s="75"/>
    </row>
    <row r="91" spans="1:10">
      <c r="D91" s="143"/>
      <c r="F91" s="48"/>
      <c r="G91" s="131"/>
      <c r="H91" s="75"/>
    </row>
    <row r="92" spans="1:10">
      <c r="D92" s="144"/>
      <c r="E92" s="88"/>
      <c r="F92" s="48"/>
      <c r="H92" s="75"/>
    </row>
    <row r="93" spans="1:10">
      <c r="D93" s="144"/>
      <c r="E93" s="88"/>
      <c r="F93" s="48"/>
      <c r="H93" s="75"/>
    </row>
    <row r="94" spans="1:10">
      <c r="D94" s="101"/>
      <c r="F94" s="48"/>
      <c r="G94" s="131"/>
      <c r="H94" s="75"/>
    </row>
    <row r="95" spans="1:10">
      <c r="D95" s="101"/>
      <c r="F95" s="48"/>
      <c r="G95" s="131"/>
      <c r="H95" s="75"/>
    </row>
    <row r="96" spans="1:10">
      <c r="D96" s="101"/>
      <c r="E96" s="114"/>
      <c r="F96" s="48"/>
      <c r="H96" s="75"/>
    </row>
    <row r="97" spans="1:8">
      <c r="D97" s="143"/>
      <c r="F97" s="48"/>
      <c r="H97" s="75"/>
    </row>
    <row r="98" spans="1:8">
      <c r="D98" s="143"/>
      <c r="F98" s="48"/>
      <c r="H98" s="75"/>
    </row>
    <row r="99" spans="1:8">
      <c r="D99" s="143"/>
      <c r="F99" s="48"/>
      <c r="H99" s="75"/>
    </row>
    <row r="100" spans="1:8">
      <c r="D100" s="83"/>
      <c r="F100" s="48"/>
      <c r="H100" s="75"/>
    </row>
    <row r="101" spans="1:8">
      <c r="D101" s="115"/>
      <c r="F101" s="48"/>
      <c r="H101" s="75"/>
    </row>
    <row r="102" spans="1:8">
      <c r="C102" s="71"/>
      <c r="D102" s="116"/>
      <c r="F102" s="48"/>
      <c r="H102" s="75"/>
    </row>
    <row r="103" spans="1:8">
      <c r="C103" s="71"/>
      <c r="D103" s="116"/>
      <c r="F103" s="48"/>
      <c r="H103" s="75"/>
    </row>
    <row r="104" spans="1:8">
      <c r="F104" s="48"/>
      <c r="H104" s="75"/>
    </row>
    <row r="105" spans="1:8">
      <c r="D105" s="101"/>
      <c r="F105" s="48"/>
      <c r="H105" s="75"/>
    </row>
    <row r="106" spans="1:8">
      <c r="D106" s="146"/>
      <c r="F106" s="48"/>
      <c r="H106" s="75"/>
    </row>
    <row r="107" spans="1:8">
      <c r="D107" s="143"/>
      <c r="F107" s="48"/>
      <c r="H107" s="75"/>
    </row>
    <row r="108" spans="1:8">
      <c r="D108" s="130"/>
      <c r="F108" s="48"/>
      <c r="H108" s="75"/>
    </row>
    <row r="109" spans="1:8">
      <c r="D109" s="130"/>
      <c r="F109" s="48"/>
      <c r="H109" s="75"/>
    </row>
    <row r="110" spans="1:8">
      <c r="D110" s="143"/>
      <c r="H110" s="75"/>
    </row>
    <row r="111" spans="1:8">
      <c r="A111" s="67"/>
      <c r="B111" s="104"/>
      <c r="H111" s="75"/>
    </row>
    <row r="112" spans="1:8">
      <c r="D112" s="140"/>
      <c r="F112" s="48"/>
      <c r="G112" s="48"/>
      <c r="H112" s="75"/>
    </row>
    <row r="113" spans="2:8">
      <c r="D113" s="140"/>
      <c r="F113" s="48"/>
      <c r="G113" s="48"/>
      <c r="H113" s="75"/>
    </row>
    <row r="114" spans="2:8">
      <c r="D114" s="73"/>
      <c r="F114" s="48"/>
      <c r="G114" s="48"/>
      <c r="H114" s="75"/>
    </row>
    <row r="115" spans="2:8">
      <c r="B115" s="86"/>
      <c r="C115" s="83"/>
      <c r="D115" s="83"/>
      <c r="F115" s="48"/>
      <c r="G115" s="48"/>
      <c r="H115" s="75"/>
    </row>
    <row r="116" spans="2:8">
      <c r="D116" s="140"/>
      <c r="F116" s="48"/>
      <c r="G116" s="48"/>
      <c r="H116" s="75"/>
    </row>
    <row r="117" spans="2:8">
      <c r="D117" s="143"/>
      <c r="F117" s="48"/>
      <c r="G117" s="48"/>
      <c r="H117" s="75"/>
    </row>
    <row r="118" spans="2:8">
      <c r="B118" s="86"/>
      <c r="C118" s="83"/>
      <c r="D118" s="83"/>
      <c r="F118" s="48"/>
      <c r="G118" s="48"/>
      <c r="H118" s="75"/>
    </row>
    <row r="119" spans="2:8">
      <c r="D119" s="101"/>
      <c r="F119" s="48"/>
      <c r="G119" s="48"/>
      <c r="H119" s="75"/>
    </row>
    <row r="120" spans="2:8">
      <c r="F120"/>
      <c r="G120" s="131"/>
      <c r="H120" s="75"/>
    </row>
    <row r="121" spans="2:8">
      <c r="D121" s="140"/>
      <c r="F121"/>
      <c r="G121" s="147"/>
      <c r="H121" s="75"/>
    </row>
    <row r="122" spans="2:8">
      <c r="D122" s="83"/>
      <c r="F122" s="48"/>
      <c r="G122" s="147"/>
      <c r="H122" s="75"/>
    </row>
    <row r="123" spans="2:8">
      <c r="D123" s="119"/>
      <c r="F123" s="48"/>
      <c r="G123" s="147"/>
      <c r="H123" s="75"/>
    </row>
    <row r="124" spans="2:8">
      <c r="F124" s="48"/>
      <c r="G124" s="147"/>
      <c r="H124" s="75"/>
    </row>
    <row r="125" spans="2:8">
      <c r="D125" s="129"/>
      <c r="E125" s="114"/>
      <c r="F125" s="48"/>
      <c r="G125" s="147"/>
      <c r="H125" s="75"/>
    </row>
    <row r="126" spans="2:8">
      <c r="D126" s="83"/>
      <c r="F126"/>
      <c r="G126" s="48"/>
      <c r="H126" s="75"/>
    </row>
    <row r="127" spans="2:8">
      <c r="D127" s="140"/>
      <c r="F127" s="48"/>
      <c r="G127" s="147"/>
      <c r="H127" s="75"/>
    </row>
    <row r="128" spans="2:8">
      <c r="D128" s="129"/>
      <c r="F128" s="48"/>
      <c r="G128" s="147"/>
      <c r="H128" s="75"/>
    </row>
    <row r="129" spans="1:8">
      <c r="D129" s="129"/>
      <c r="F129" s="48"/>
      <c r="G129" s="48"/>
      <c r="H129" s="75"/>
    </row>
    <row r="130" spans="1:8">
      <c r="D130" s="129"/>
      <c r="F130" s="48"/>
      <c r="G130" s="147"/>
      <c r="H130" s="75"/>
    </row>
    <row r="131" spans="1:8">
      <c r="C131" s="71"/>
      <c r="D131" s="133"/>
      <c r="F131" s="48"/>
      <c r="G131" s="147"/>
      <c r="H131" s="75"/>
    </row>
    <row r="132" spans="1:8">
      <c r="C132" s="71"/>
      <c r="D132" s="129"/>
      <c r="F132" s="48"/>
      <c r="G132" s="147"/>
      <c r="H132" s="75"/>
    </row>
    <row r="133" spans="1:8">
      <c r="D133" s="146"/>
      <c r="F133" s="48"/>
      <c r="G133" s="147"/>
      <c r="H133" s="75"/>
    </row>
    <row r="134" spans="1:8">
      <c r="D134" s="146"/>
      <c r="F134" s="48"/>
      <c r="G134" s="147"/>
      <c r="H134" s="75"/>
    </row>
    <row r="135" spans="1:8">
      <c r="D135" s="146"/>
      <c r="F135" s="48"/>
      <c r="G135" s="147"/>
      <c r="H135" s="75"/>
    </row>
    <row r="136" spans="1:8">
      <c r="D136" s="143"/>
      <c r="F136" s="48"/>
      <c r="G136" s="48"/>
      <c r="H136" s="75"/>
    </row>
    <row r="137" spans="1:8">
      <c r="D137" s="148"/>
      <c r="F137" s="48"/>
      <c r="G137" s="147"/>
      <c r="H137" s="75"/>
    </row>
    <row r="138" spans="1:8">
      <c r="A138" s="67"/>
      <c r="B138" s="104"/>
      <c r="H138" s="75"/>
    </row>
    <row r="139" spans="1:8">
      <c r="D139" s="145"/>
      <c r="F139" s="48"/>
      <c r="H139" s="75"/>
    </row>
    <row r="140" spans="1:8">
      <c r="D140" s="143"/>
      <c r="F140" s="48"/>
      <c r="H140" s="75"/>
    </row>
    <row r="141" spans="1:8">
      <c r="D141" s="143"/>
      <c r="F141" s="48"/>
      <c r="H141" s="75"/>
    </row>
    <row r="142" spans="1:8">
      <c r="D142" s="143"/>
      <c r="F142" s="48"/>
      <c r="H142" s="75"/>
    </row>
    <row r="143" spans="1:8">
      <c r="D143" s="140"/>
      <c r="F143" s="48"/>
      <c r="H143" s="75"/>
    </row>
    <row r="144" spans="1:8">
      <c r="D144" s="143"/>
      <c r="F144" s="48"/>
      <c r="G144" s="48"/>
      <c r="H144" s="75"/>
    </row>
    <row r="145" spans="1:8">
      <c r="A145" s="67"/>
      <c r="B145" s="104"/>
      <c r="H145" s="75"/>
    </row>
    <row r="146" spans="1:8">
      <c r="F146" s="48"/>
      <c r="G146" s="147"/>
      <c r="H146" s="75"/>
    </row>
    <row r="147" spans="1:8">
      <c r="D147" s="129"/>
      <c r="F147" s="48"/>
      <c r="G147" s="147"/>
      <c r="H147" s="75"/>
    </row>
    <row r="148" spans="1:8">
      <c r="D148" s="140"/>
      <c r="F148"/>
      <c r="G148" s="147"/>
      <c r="H148" s="75"/>
    </row>
    <row r="149" spans="1:8">
      <c r="D149" s="119"/>
      <c r="F149" s="48"/>
      <c r="G149" s="147"/>
      <c r="H149" s="75"/>
    </row>
    <row r="150" spans="1:8">
      <c r="F150" s="48"/>
      <c r="G150" s="48"/>
      <c r="H150" s="75"/>
    </row>
    <row r="151" spans="1:8">
      <c r="D151" s="140"/>
      <c r="F151" s="48"/>
      <c r="G151" s="86"/>
      <c r="H151" s="75"/>
    </row>
    <row r="152" spans="1:8">
      <c r="D152" s="140"/>
      <c r="F152" s="48"/>
      <c r="G152" s="86"/>
      <c r="H152" s="75"/>
    </row>
    <row r="153" spans="1:8">
      <c r="D153" s="140"/>
      <c r="F153" s="48"/>
      <c r="G153" s="86"/>
      <c r="H153" s="75"/>
    </row>
    <row r="154" spans="1:8">
      <c r="D154" s="140"/>
      <c r="F154" s="48"/>
      <c r="G154" s="86"/>
      <c r="H154" s="75"/>
    </row>
    <row r="155" spans="1:8">
      <c r="F155" s="48"/>
      <c r="G155" s="147"/>
      <c r="H155" s="75"/>
    </row>
    <row r="156" spans="1:8">
      <c r="F156" s="48"/>
      <c r="G156" s="48"/>
      <c r="H156" s="75"/>
    </row>
    <row r="157" spans="1:8">
      <c r="C157" s="88"/>
      <c r="D157" s="88"/>
      <c r="F157" s="48"/>
      <c r="G157" s="147"/>
      <c r="H157" s="75"/>
    </row>
    <row r="158" spans="1:8">
      <c r="C158" s="88"/>
      <c r="D158" s="88"/>
      <c r="F158" s="48"/>
      <c r="G158" s="147"/>
      <c r="H158" s="75"/>
    </row>
    <row r="159" spans="1:8">
      <c r="C159" s="88"/>
      <c r="D159" s="88"/>
      <c r="F159" s="48"/>
      <c r="G159" s="147"/>
      <c r="H159" s="75"/>
    </row>
    <row r="160" spans="1:8">
      <c r="F160" s="48"/>
      <c r="G160" s="147"/>
      <c r="H160" s="75"/>
    </row>
    <row r="161" spans="4:8">
      <c r="D161" s="143"/>
      <c r="F161" s="48"/>
      <c r="G161" s="48"/>
      <c r="H161" s="75"/>
    </row>
    <row r="162" spans="4:8">
      <c r="F162" s="48"/>
      <c r="G162" s="147"/>
      <c r="H162" s="75"/>
    </row>
    <row r="163" spans="4:8">
      <c r="F163" s="48"/>
      <c r="G163" s="147"/>
      <c r="H163" s="75"/>
    </row>
    <row r="164" spans="4:8">
      <c r="F164" s="48"/>
      <c r="G164" s="147"/>
      <c r="H164" s="75"/>
    </row>
    <row r="165" spans="4:8">
      <c r="D165" s="140"/>
      <c r="F165" s="48"/>
      <c r="G165" s="131"/>
      <c r="H165" s="75"/>
    </row>
    <row r="166" spans="4:8">
      <c r="D166" s="140"/>
      <c r="F166" s="48"/>
      <c r="G166" s="131"/>
      <c r="H166" s="75"/>
    </row>
    <row r="167" spans="4:8">
      <c r="D167" s="140"/>
      <c r="F167" s="48"/>
      <c r="G167" s="131"/>
      <c r="H167" s="75"/>
    </row>
    <row r="168" spans="4:8">
      <c r="D168" s="143"/>
      <c r="E168" s="114"/>
      <c r="F168" s="48"/>
      <c r="G168" s="131"/>
      <c r="H168" s="75"/>
    </row>
    <row r="169" spans="4:8">
      <c r="D169" s="143"/>
      <c r="E169" s="114"/>
      <c r="F169" s="48"/>
      <c r="G169" s="131"/>
      <c r="H169" s="75"/>
    </row>
    <row r="170" spans="4:8">
      <c r="D170" s="143"/>
      <c r="F170" s="48"/>
      <c r="G170" s="131"/>
      <c r="H170" s="75"/>
    </row>
    <row r="171" spans="4:8">
      <c r="D171" s="149"/>
      <c r="F171" s="48"/>
      <c r="G171" s="48"/>
      <c r="H171" s="75"/>
    </row>
    <row r="172" spans="4:8">
      <c r="D172" s="140"/>
      <c r="F172" s="48"/>
      <c r="G172" s="147"/>
      <c r="H172" s="75"/>
    </row>
    <row r="173" spans="4:8">
      <c r="D173" s="140"/>
      <c r="F173" s="48"/>
      <c r="G173" s="147"/>
      <c r="H173" s="75"/>
    </row>
    <row r="174" spans="4:8">
      <c r="D174" s="140"/>
      <c r="F174" s="48"/>
      <c r="G174" s="147"/>
      <c r="H174" s="75"/>
    </row>
    <row r="175" spans="4:8">
      <c r="D175" s="140"/>
      <c r="F175" s="48"/>
      <c r="G175" s="147"/>
      <c r="H175" s="75"/>
    </row>
    <row r="176" spans="4:8">
      <c r="D176" s="150"/>
      <c r="F176" s="48"/>
      <c r="G176" s="147"/>
      <c r="H176" s="75"/>
    </row>
    <row r="177" spans="1:8">
      <c r="D177" s="144"/>
      <c r="F177" s="48"/>
      <c r="G177" s="86"/>
      <c r="H177" s="75"/>
    </row>
    <row r="178" spans="1:8">
      <c r="D178" s="144"/>
      <c r="F178" s="48"/>
      <c r="G178" s="86"/>
      <c r="H178" s="75"/>
    </row>
    <row r="179" spans="1:8">
      <c r="D179" s="143"/>
      <c r="F179" s="48"/>
      <c r="G179" s="147"/>
      <c r="H179" s="75"/>
    </row>
    <row r="180" spans="1:8">
      <c r="D180" s="132"/>
      <c r="F180" s="48"/>
      <c r="G180" s="147"/>
      <c r="H180" s="75"/>
    </row>
    <row r="181" spans="1:8">
      <c r="D181" s="146"/>
      <c r="F181" s="48"/>
      <c r="G181" s="147"/>
      <c r="H181" s="75"/>
    </row>
    <row r="182" spans="1:8">
      <c r="D182" s="146"/>
      <c r="F182" s="48"/>
      <c r="G182" s="147"/>
      <c r="H182" s="75"/>
    </row>
    <row r="183" spans="1:8" s="48" customFormat="1">
      <c r="A183" s="72"/>
      <c r="H183" s="75"/>
    </row>
    <row r="184" spans="1:8">
      <c r="A184" s="67"/>
      <c r="B184" s="104"/>
      <c r="H184" s="75"/>
    </row>
    <row r="185" spans="1:8">
      <c r="C185" s="71"/>
      <c r="D185" s="143"/>
      <c r="E185" s="114"/>
      <c r="F185" s="48"/>
      <c r="G185" s="147"/>
      <c r="H185" s="75"/>
    </row>
    <row r="186" spans="1:8">
      <c r="C186" s="71"/>
      <c r="D186" s="143"/>
      <c r="F186"/>
      <c r="G186" s="147"/>
      <c r="H186" s="75"/>
    </row>
    <row r="187" spans="1:8">
      <c r="C187" s="71"/>
      <c r="D187" s="129"/>
      <c r="E187" s="114"/>
      <c r="F187" s="48"/>
      <c r="G187" s="48"/>
      <c r="H187" s="75"/>
    </row>
    <row r="188" spans="1:8">
      <c r="D188" s="83"/>
      <c r="E188" s="114"/>
      <c r="F188" s="48"/>
      <c r="G188" s="147"/>
      <c r="H188" s="75"/>
    </row>
    <row r="189" spans="1:8">
      <c r="D189" s="143"/>
      <c r="F189" s="48"/>
      <c r="G189" s="114"/>
      <c r="H189" s="75"/>
    </row>
    <row r="190" spans="1:8">
      <c r="F190" s="48"/>
      <c r="G190" s="48"/>
      <c r="H190" s="75"/>
    </row>
    <row r="191" spans="1:8" ht="15" customHeight="1">
      <c r="A191" s="67"/>
      <c r="B191" s="104"/>
      <c r="H191" s="75"/>
    </row>
    <row r="192" spans="1:8">
      <c r="F192" s="48"/>
      <c r="G192" s="48"/>
      <c r="H192" s="75"/>
    </row>
    <row r="193" spans="1:8">
      <c r="B193" s="88"/>
      <c r="D193" s="143"/>
      <c r="F193" s="48"/>
      <c r="G193" s="48"/>
      <c r="H193" s="75"/>
    </row>
    <row r="194" spans="1:8">
      <c r="D194" s="143"/>
      <c r="F194" s="48"/>
      <c r="G194" s="48"/>
      <c r="H194" s="75"/>
    </row>
    <row r="195" spans="1:8">
      <c r="D195" s="143"/>
      <c r="F195" s="48"/>
      <c r="G195" s="48"/>
      <c r="H195" s="75"/>
    </row>
    <row r="196" spans="1:8">
      <c r="D196" s="143"/>
      <c r="F196" s="48"/>
      <c r="G196" s="48"/>
      <c r="H196" s="75"/>
    </row>
    <row r="197" spans="1:8" s="48" customFormat="1">
      <c r="A197" s="72"/>
      <c r="D197" s="143"/>
      <c r="F197"/>
      <c r="G197" s="9"/>
      <c r="H197" s="75"/>
    </row>
    <row r="198" spans="1:8" s="48" customFormat="1">
      <c r="A198" s="72"/>
      <c r="D198" s="143"/>
      <c r="F198"/>
      <c r="G198" s="9"/>
      <c r="H198" s="75"/>
    </row>
    <row r="199" spans="1:8" s="48" customFormat="1">
      <c r="A199" s="72"/>
      <c r="D199" s="143"/>
      <c r="F199" s="9"/>
      <c r="G199" s="9"/>
      <c r="H199" s="75"/>
    </row>
    <row r="200" spans="1:8" s="48" customFormat="1">
      <c r="A200" s="72"/>
      <c r="D200" s="143"/>
      <c r="F200" s="9"/>
      <c r="G200" s="9"/>
      <c r="H200" s="75"/>
    </row>
    <row r="201" spans="1:8" s="48" customFormat="1">
      <c r="A201" s="72"/>
      <c r="D201" s="101"/>
      <c r="F201" s="9"/>
      <c r="G201" s="9"/>
      <c r="H201" s="75"/>
    </row>
    <row r="204" spans="1:8" ht="26.25">
      <c r="B204" s="151"/>
    </row>
    <row r="205" spans="1:8">
      <c r="D205" s="152"/>
      <c r="H205" s="75"/>
    </row>
    <row r="206" spans="1:8">
      <c r="D206" s="83"/>
      <c r="F206"/>
      <c r="G206" s="147"/>
      <c r="H206" s="75"/>
    </row>
    <row r="207" spans="1:8">
      <c r="D207" s="153"/>
      <c r="H207" s="75"/>
    </row>
    <row r="208" spans="1:8">
      <c r="D208" s="101"/>
      <c r="H208" s="75"/>
    </row>
    <row r="209" spans="3:9">
      <c r="D209" s="101"/>
      <c r="H209" s="75"/>
    </row>
    <row r="210" spans="3:9">
      <c r="D210" s="101"/>
      <c r="H210" s="75"/>
    </row>
    <row r="211" spans="3:9">
      <c r="D211" s="143"/>
      <c r="F211" s="48"/>
      <c r="H211" s="75"/>
    </row>
    <row r="212" spans="3:9">
      <c r="D212" s="101"/>
      <c r="F212" s="48"/>
      <c r="H212" s="75"/>
    </row>
    <row r="213" spans="3:9">
      <c r="D213" s="140"/>
      <c r="F213" s="48"/>
      <c r="H213" s="75"/>
    </row>
    <row r="214" spans="3:9">
      <c r="D214" s="144"/>
      <c r="F214" s="48"/>
      <c r="G214" s="131"/>
      <c r="H214" s="75"/>
    </row>
    <row r="215" spans="3:9">
      <c r="D215" s="140"/>
      <c r="F215" s="48"/>
      <c r="G215" s="140"/>
      <c r="H215" s="75"/>
    </row>
    <row r="216" spans="3:9">
      <c r="D216" s="98"/>
      <c r="F216" s="48"/>
      <c r="G216" s="48"/>
      <c r="H216" s="75"/>
    </row>
    <row r="217" spans="3:9">
      <c r="D217" s="98"/>
      <c r="F217" s="48"/>
      <c r="G217" s="48"/>
      <c r="H217" s="75"/>
    </row>
    <row r="218" spans="3:9">
      <c r="D218" s="98"/>
      <c r="E218" s="88"/>
      <c r="F218" s="88"/>
      <c r="G218" s="114"/>
      <c r="H218" s="75"/>
      <c r="I218" s="114"/>
    </row>
    <row r="219" spans="3:9">
      <c r="D219" s="76"/>
      <c r="F219" s="48"/>
      <c r="G219" s="118"/>
      <c r="H219" s="75"/>
    </row>
    <row r="220" spans="3:9">
      <c r="D220" s="98"/>
      <c r="F220" s="48"/>
      <c r="G220" s="118"/>
      <c r="H220" s="126"/>
    </row>
    <row r="221" spans="3:9">
      <c r="D221" s="98"/>
      <c r="F221" s="48"/>
      <c r="G221" s="118"/>
      <c r="H221" s="75"/>
    </row>
    <row r="222" spans="3:9" ht="90" customHeight="1">
      <c r="C222" s="71"/>
      <c r="D222" s="76"/>
      <c r="E222" s="127"/>
      <c r="F222" s="48"/>
      <c r="G222" s="118"/>
      <c r="H222" s="75"/>
    </row>
    <row r="223" spans="3:9">
      <c r="C223" s="71"/>
      <c r="D223" s="117"/>
      <c r="F223" s="48"/>
      <c r="G223" s="118"/>
      <c r="H223" s="75"/>
    </row>
    <row r="224" spans="3:9">
      <c r="D224" s="117"/>
      <c r="F224" s="48"/>
      <c r="G224" s="118"/>
      <c r="H224" s="75"/>
    </row>
    <row r="225" spans="4:8">
      <c r="D225" s="98"/>
      <c r="F225" s="48"/>
      <c r="G225" s="118"/>
      <c r="H225" s="75"/>
    </row>
    <row r="226" spans="4:8">
      <c r="D226" s="98"/>
      <c r="F226" s="48"/>
      <c r="G226"/>
      <c r="H226" s="75"/>
    </row>
  </sheetData>
  <mergeCells count="1">
    <mergeCell ref="H30:H3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D722D-CCFB-494C-8DB5-447C35277C57}">
  <sheetPr>
    <tabColor theme="8" tint="-0.249977111117893"/>
  </sheetPr>
  <dimension ref="A2:J48"/>
  <sheetViews>
    <sheetView topLeftCell="A13" workbookViewId="0">
      <selection activeCell="B126" sqref="B126"/>
    </sheetView>
  </sheetViews>
  <sheetFormatPr defaultColWidth="9.140625" defaultRowHeight="15"/>
  <cols>
    <col min="1" max="2" width="9.140625" style="71"/>
    <col min="3" max="3" width="13.140625" style="71" customWidth="1"/>
    <col min="4" max="4" width="33.42578125" style="71" customWidth="1"/>
    <col min="5" max="5" width="18.85546875" style="71" customWidth="1"/>
    <col min="6" max="6" width="55.42578125" style="71" customWidth="1"/>
    <col min="7" max="7" width="23.140625" style="71" customWidth="1"/>
    <col min="8" max="8" width="10.28515625" style="71" customWidth="1"/>
    <col min="9" max="9" width="9.140625" style="71"/>
    <col min="10" max="10" width="23.140625" style="71" customWidth="1"/>
    <col min="11" max="16384" width="9.140625" style="71"/>
  </cols>
  <sheetData>
    <row r="2" spans="1:10" s="72" customFormat="1">
      <c r="C2" s="154" t="s">
        <v>937</v>
      </c>
      <c r="D2" s="154" t="s">
        <v>938</v>
      </c>
      <c r="E2" s="154" t="s">
        <v>939</v>
      </c>
      <c r="F2" s="154" t="s">
        <v>940</v>
      </c>
      <c r="G2" s="154" t="s">
        <v>941</v>
      </c>
      <c r="H2" s="154" t="s">
        <v>942</v>
      </c>
    </row>
    <row r="3" spans="1:10" s="72" customFormat="1" ht="30">
      <c r="C3" s="155" t="s">
        <v>937</v>
      </c>
      <c r="D3" s="155" t="s">
        <v>943</v>
      </c>
      <c r="E3" s="155" t="s">
        <v>944</v>
      </c>
      <c r="F3" s="155" t="s">
        <v>945</v>
      </c>
      <c r="G3" s="155" t="s">
        <v>941</v>
      </c>
      <c r="H3" s="155" t="s">
        <v>946</v>
      </c>
      <c r="J3" s="72" t="s">
        <v>505</v>
      </c>
    </row>
    <row r="4" spans="1:10" ht="90">
      <c r="A4" s="71" t="s">
        <v>369</v>
      </c>
      <c r="B4" s="71" t="s">
        <v>947</v>
      </c>
      <c r="C4" s="71" t="s">
        <v>948</v>
      </c>
      <c r="D4" s="71" t="s">
        <v>949</v>
      </c>
      <c r="E4" s="71" t="s">
        <v>950</v>
      </c>
      <c r="F4" s="71" t="s">
        <v>951</v>
      </c>
      <c r="G4" s="71" t="s">
        <v>952</v>
      </c>
      <c r="H4" s="71" t="s">
        <v>953</v>
      </c>
      <c r="J4" s="71" t="s">
        <v>954</v>
      </c>
    </row>
    <row r="5" spans="1:10" ht="90">
      <c r="A5" s="71" t="s">
        <v>369</v>
      </c>
      <c r="B5" s="71" t="s">
        <v>955</v>
      </c>
      <c r="C5" s="71" t="s">
        <v>956</v>
      </c>
      <c r="D5" s="71" t="s">
        <v>957</v>
      </c>
      <c r="E5" s="71" t="s">
        <v>958</v>
      </c>
      <c r="F5" s="71" t="s">
        <v>959</v>
      </c>
      <c r="G5" s="71" t="s">
        <v>960</v>
      </c>
      <c r="H5" s="71" t="s">
        <v>961</v>
      </c>
      <c r="J5" s="71" t="s">
        <v>954</v>
      </c>
    </row>
    <row r="6" spans="1:10" ht="60">
      <c r="A6" s="71" t="s">
        <v>369</v>
      </c>
      <c r="B6" s="71" t="s">
        <v>962</v>
      </c>
      <c r="C6" s="71" t="s">
        <v>963</v>
      </c>
      <c r="D6" s="71" t="s">
        <v>964</v>
      </c>
      <c r="F6" s="71" t="s">
        <v>965</v>
      </c>
      <c r="G6" s="71" t="s">
        <v>966</v>
      </c>
      <c r="H6" s="71" t="s">
        <v>961</v>
      </c>
      <c r="J6" s="71" t="s">
        <v>954</v>
      </c>
    </row>
    <row r="7" spans="1:10" ht="30">
      <c r="A7" s="71" t="s">
        <v>369</v>
      </c>
      <c r="B7" s="71" t="s">
        <v>955</v>
      </c>
      <c r="C7" s="71" t="s">
        <v>967</v>
      </c>
      <c r="D7" s="71" t="s">
        <v>968</v>
      </c>
      <c r="E7" s="71" t="s">
        <v>969</v>
      </c>
      <c r="F7" s="71" t="s">
        <v>970</v>
      </c>
      <c r="G7" s="71" t="s">
        <v>776</v>
      </c>
      <c r="H7" s="71" t="s">
        <v>961</v>
      </c>
    </row>
    <row r="8" spans="1:10" ht="30">
      <c r="A8" s="71" t="s">
        <v>369</v>
      </c>
      <c r="B8" s="71" t="s">
        <v>955</v>
      </c>
      <c r="C8" s="71" t="s">
        <v>967</v>
      </c>
      <c r="D8" s="71" t="s">
        <v>968</v>
      </c>
      <c r="E8" s="71" t="s">
        <v>971</v>
      </c>
      <c r="F8" s="71" t="s">
        <v>972</v>
      </c>
      <c r="G8" s="71" t="s">
        <v>776</v>
      </c>
      <c r="H8" s="71" t="s">
        <v>961</v>
      </c>
    </row>
    <row r="9" spans="1:10" ht="75">
      <c r="A9" s="71" t="s">
        <v>369</v>
      </c>
      <c r="B9" s="71" t="s">
        <v>962</v>
      </c>
      <c r="C9" s="71" t="s">
        <v>963</v>
      </c>
      <c r="D9" s="71" t="s">
        <v>973</v>
      </c>
      <c r="F9" s="156" t="s">
        <v>974</v>
      </c>
      <c r="G9" s="71" t="s">
        <v>975</v>
      </c>
      <c r="H9" s="71" t="s">
        <v>961</v>
      </c>
      <c r="J9" s="71" t="s">
        <v>954</v>
      </c>
    </row>
    <row r="10" spans="1:10" ht="30">
      <c r="A10" s="71" t="s">
        <v>369</v>
      </c>
      <c r="B10" s="71" t="s">
        <v>962</v>
      </c>
      <c r="C10" s="71" t="s">
        <v>967</v>
      </c>
      <c r="D10" s="71" t="s">
        <v>976</v>
      </c>
      <c r="F10" s="71" t="s">
        <v>977</v>
      </c>
      <c r="G10" s="71" t="s">
        <v>917</v>
      </c>
      <c r="H10" s="71" t="s">
        <v>961</v>
      </c>
    </row>
    <row r="11" spans="1:10" ht="30">
      <c r="A11" s="71" t="s">
        <v>369</v>
      </c>
      <c r="B11" s="71" t="s">
        <v>962</v>
      </c>
      <c r="C11" s="71" t="s">
        <v>967</v>
      </c>
      <c r="D11" s="71" t="s">
        <v>641</v>
      </c>
      <c r="E11" s="71" t="s">
        <v>978</v>
      </c>
      <c r="F11" s="71" t="s">
        <v>979</v>
      </c>
      <c r="G11" s="71" t="s">
        <v>643</v>
      </c>
      <c r="H11" s="71" t="s">
        <v>961</v>
      </c>
      <c r="J11" s="71" t="s">
        <v>954</v>
      </c>
    </row>
    <row r="12" spans="1:10" ht="90">
      <c r="A12" s="71" t="s">
        <v>369</v>
      </c>
      <c r="B12" s="71" t="s">
        <v>962</v>
      </c>
      <c r="C12" s="71" t="s">
        <v>980</v>
      </c>
      <c r="D12" s="71" t="s">
        <v>981</v>
      </c>
      <c r="E12" s="71" t="s">
        <v>982</v>
      </c>
      <c r="F12" s="71" t="s">
        <v>983</v>
      </c>
      <c r="G12" s="71" t="s">
        <v>984</v>
      </c>
      <c r="H12" s="71" t="s">
        <v>961</v>
      </c>
    </row>
    <row r="13" spans="1:10" ht="60">
      <c r="A13" s="71" t="s">
        <v>369</v>
      </c>
      <c r="B13" s="71" t="s">
        <v>955</v>
      </c>
      <c r="C13" s="71" t="s">
        <v>963</v>
      </c>
      <c r="D13" s="71" t="s">
        <v>985</v>
      </c>
      <c r="E13" s="71" t="s">
        <v>986</v>
      </c>
      <c r="F13" s="71" t="s">
        <v>987</v>
      </c>
      <c r="G13" s="71" t="s">
        <v>988</v>
      </c>
      <c r="H13" s="71" t="s">
        <v>989</v>
      </c>
      <c r="J13" s="71" t="s">
        <v>954</v>
      </c>
    </row>
    <row r="14" spans="1:10" ht="60">
      <c r="A14" s="71" t="s">
        <v>369</v>
      </c>
      <c r="B14" s="71" t="s">
        <v>955</v>
      </c>
      <c r="C14" s="71" t="s">
        <v>963</v>
      </c>
      <c r="D14" s="71" t="s">
        <v>990</v>
      </c>
      <c r="E14" s="71" t="s">
        <v>986</v>
      </c>
      <c r="F14" s="71" t="s">
        <v>991</v>
      </c>
      <c r="G14" s="71" t="s">
        <v>992</v>
      </c>
      <c r="H14" s="71" t="s">
        <v>989</v>
      </c>
      <c r="J14" s="71" t="s">
        <v>993</v>
      </c>
    </row>
    <row r="15" spans="1:10" ht="60">
      <c r="A15" s="71" t="s">
        <v>369</v>
      </c>
      <c r="B15" s="71" t="s">
        <v>955</v>
      </c>
      <c r="C15" s="71" t="s">
        <v>963</v>
      </c>
      <c r="D15" s="71" t="s">
        <v>994</v>
      </c>
      <c r="E15" s="71" t="s">
        <v>986</v>
      </c>
      <c r="F15" s="71" t="s">
        <v>995</v>
      </c>
      <c r="G15" s="71" t="s">
        <v>996</v>
      </c>
      <c r="H15" s="71" t="s">
        <v>989</v>
      </c>
      <c r="J15" s="71" t="s">
        <v>993</v>
      </c>
    </row>
    <row r="16" spans="1:10" ht="30">
      <c r="A16" s="71" t="s">
        <v>369</v>
      </c>
      <c r="B16" s="71" t="s">
        <v>955</v>
      </c>
      <c r="C16" s="71" t="s">
        <v>997</v>
      </c>
      <c r="D16" s="71" t="s">
        <v>998</v>
      </c>
      <c r="E16" s="71" t="s">
        <v>999</v>
      </c>
      <c r="F16" s="71" t="s">
        <v>1000</v>
      </c>
      <c r="G16" s="71" t="s">
        <v>790</v>
      </c>
      <c r="H16" s="71" t="s">
        <v>961</v>
      </c>
      <c r="J16" s="71" t="s">
        <v>954</v>
      </c>
    </row>
    <row r="17" spans="1:10" ht="45">
      <c r="A17" s="71" t="s">
        <v>369</v>
      </c>
      <c r="B17" s="71" t="s">
        <v>955</v>
      </c>
      <c r="C17" s="71" t="s">
        <v>997</v>
      </c>
      <c r="D17" s="71" t="s">
        <v>1001</v>
      </c>
      <c r="E17" s="71" t="s">
        <v>999</v>
      </c>
      <c r="F17" s="71" t="s">
        <v>1002</v>
      </c>
      <c r="G17" s="71" t="s">
        <v>790</v>
      </c>
      <c r="H17" s="71" t="s">
        <v>1003</v>
      </c>
      <c r="J17" s="71" t="s">
        <v>954</v>
      </c>
    </row>
    <row r="18" spans="1:10" ht="30">
      <c r="A18" s="71" t="s">
        <v>369</v>
      </c>
      <c r="B18" s="71" t="s">
        <v>962</v>
      </c>
      <c r="C18" s="71" t="s">
        <v>1004</v>
      </c>
      <c r="D18" s="71" t="s">
        <v>1005</v>
      </c>
      <c r="F18" s="71" t="s">
        <v>1006</v>
      </c>
    </row>
    <row r="19" spans="1:10" ht="45">
      <c r="A19" s="71" t="s">
        <v>369</v>
      </c>
      <c r="B19" s="71" t="s">
        <v>947</v>
      </c>
      <c r="C19" s="71" t="s">
        <v>1007</v>
      </c>
      <c r="D19" s="71" t="s">
        <v>1008</v>
      </c>
      <c r="F19" s="71" t="s">
        <v>1009</v>
      </c>
      <c r="G19" s="71" t="s">
        <v>1010</v>
      </c>
      <c r="H19" s="71" t="s">
        <v>961</v>
      </c>
      <c r="J19" s="71" t="s">
        <v>954</v>
      </c>
    </row>
    <row r="20" spans="1:10" ht="30">
      <c r="A20" s="71" t="s">
        <v>369</v>
      </c>
      <c r="B20" s="71" t="s">
        <v>955</v>
      </c>
      <c r="C20" s="71" t="s">
        <v>1007</v>
      </c>
      <c r="D20" s="71" t="s">
        <v>1011</v>
      </c>
      <c r="E20" s="71" t="s">
        <v>1012</v>
      </c>
      <c r="F20" s="71" t="s">
        <v>1013</v>
      </c>
      <c r="G20" s="71" t="s">
        <v>1014</v>
      </c>
      <c r="H20" s="71" t="s">
        <v>961</v>
      </c>
      <c r="J20" s="71" t="s">
        <v>1015</v>
      </c>
    </row>
    <row r="21" spans="1:10" ht="30">
      <c r="A21" s="71" t="s">
        <v>369</v>
      </c>
      <c r="B21" s="71" t="s">
        <v>955</v>
      </c>
      <c r="C21" s="71" t="s">
        <v>1016</v>
      </c>
      <c r="D21" s="71" t="s">
        <v>1017</v>
      </c>
      <c r="E21" s="71" t="s">
        <v>1018</v>
      </c>
      <c r="F21" s="71" t="s">
        <v>1019</v>
      </c>
    </row>
    <row r="22" spans="1:10" ht="30">
      <c r="A22" s="71" t="s">
        <v>369</v>
      </c>
      <c r="B22" s="71" t="s">
        <v>955</v>
      </c>
      <c r="C22" s="71" t="s">
        <v>980</v>
      </c>
      <c r="D22" s="71" t="s">
        <v>1020</v>
      </c>
      <c r="F22" s="71" t="s">
        <v>1021</v>
      </c>
      <c r="G22" s="71" t="s">
        <v>1022</v>
      </c>
      <c r="H22" s="71" t="s">
        <v>961</v>
      </c>
    </row>
    <row r="23" spans="1:10" ht="30">
      <c r="A23" s="71" t="s">
        <v>369</v>
      </c>
      <c r="B23" s="71" t="s">
        <v>1023</v>
      </c>
      <c r="C23" s="71" t="s">
        <v>963</v>
      </c>
      <c r="D23" s="71" t="s">
        <v>1024</v>
      </c>
      <c r="F23" s="71" t="s">
        <v>965</v>
      </c>
      <c r="G23" s="71" t="s">
        <v>921</v>
      </c>
      <c r="H23" s="71" t="s">
        <v>961</v>
      </c>
      <c r="J23" s="71" t="s">
        <v>954</v>
      </c>
    </row>
    <row r="24" spans="1:10" ht="30">
      <c r="A24" s="71" t="s">
        <v>369</v>
      </c>
      <c r="B24" s="71" t="s">
        <v>955</v>
      </c>
      <c r="C24" s="71" t="s">
        <v>963</v>
      </c>
      <c r="D24" s="71" t="s">
        <v>1025</v>
      </c>
      <c r="F24" s="71" t="s">
        <v>1026</v>
      </c>
      <c r="G24" s="71" t="s">
        <v>936</v>
      </c>
      <c r="H24" s="71" t="s">
        <v>961</v>
      </c>
      <c r="J24" s="71" t="s">
        <v>954</v>
      </c>
    </row>
    <row r="25" spans="1:10" ht="30">
      <c r="A25" s="71" t="s">
        <v>369</v>
      </c>
      <c r="B25" s="71" t="s">
        <v>955</v>
      </c>
      <c r="C25" s="71" t="s">
        <v>963</v>
      </c>
      <c r="D25" s="71" t="s">
        <v>1027</v>
      </c>
      <c r="F25" s="71" t="s">
        <v>1028</v>
      </c>
      <c r="G25" s="71" t="s">
        <v>1029</v>
      </c>
      <c r="H25" s="71" t="s">
        <v>961</v>
      </c>
      <c r="J25" s="71" t="s">
        <v>954</v>
      </c>
    </row>
    <row r="26" spans="1:10" ht="45">
      <c r="A26" s="71" t="s">
        <v>369</v>
      </c>
      <c r="B26" s="71" t="s">
        <v>1030</v>
      </c>
      <c r="C26" s="71" t="s">
        <v>980</v>
      </c>
      <c r="D26" s="71" t="s">
        <v>1031</v>
      </c>
      <c r="F26" s="71" t="s">
        <v>1032</v>
      </c>
      <c r="G26" s="71" t="s">
        <v>1033</v>
      </c>
      <c r="H26" s="71" t="s">
        <v>961</v>
      </c>
    </row>
    <row r="27" spans="1:10" ht="45">
      <c r="A27" s="71" t="s">
        <v>369</v>
      </c>
      <c r="B27" s="71" t="s">
        <v>1030</v>
      </c>
      <c r="C27" s="71" t="s">
        <v>980</v>
      </c>
      <c r="D27" s="71" t="s">
        <v>1034</v>
      </c>
      <c r="F27" s="71" t="s">
        <v>1035</v>
      </c>
      <c r="G27" s="71" t="s">
        <v>1036</v>
      </c>
      <c r="H27" s="71" t="s">
        <v>961</v>
      </c>
      <c r="J27" s="71" t="s">
        <v>954</v>
      </c>
    </row>
    <row r="28" spans="1:10" ht="30">
      <c r="A28" s="71" t="s">
        <v>369</v>
      </c>
      <c r="B28" s="71" t="s">
        <v>947</v>
      </c>
      <c r="C28" s="71" t="s">
        <v>963</v>
      </c>
      <c r="D28" s="71" t="s">
        <v>1037</v>
      </c>
      <c r="F28" s="71" t="s">
        <v>1038</v>
      </c>
      <c r="G28" s="71" t="s">
        <v>1039</v>
      </c>
      <c r="H28" s="71" t="s">
        <v>961</v>
      </c>
    </row>
    <row r="29" spans="1:10">
      <c r="A29" s="71" t="s">
        <v>369</v>
      </c>
      <c r="B29" s="71" t="s">
        <v>955</v>
      </c>
      <c r="D29" s="71" t="s">
        <v>1040</v>
      </c>
      <c r="E29" s="71" t="s">
        <v>1041</v>
      </c>
      <c r="G29" s="71" t="s">
        <v>682</v>
      </c>
      <c r="H29" s="71" t="s">
        <v>961</v>
      </c>
    </row>
    <row r="30" spans="1:10">
      <c r="A30" s="71" t="s">
        <v>369</v>
      </c>
      <c r="B30" s="71" t="s">
        <v>955</v>
      </c>
    </row>
    <row r="31" spans="1:10" ht="75">
      <c r="A31" s="71" t="s">
        <v>375</v>
      </c>
      <c r="B31" s="71" t="s">
        <v>955</v>
      </c>
      <c r="C31" s="71" t="s">
        <v>948</v>
      </c>
      <c r="D31" s="71" t="s">
        <v>1042</v>
      </c>
      <c r="E31" s="71" t="s">
        <v>445</v>
      </c>
      <c r="F31" s="71" t="s">
        <v>1043</v>
      </c>
      <c r="G31" s="71" t="s">
        <v>1044</v>
      </c>
      <c r="H31" s="71" t="s">
        <v>380</v>
      </c>
    </row>
    <row r="32" spans="1:10" ht="45">
      <c r="A32" s="71" t="s">
        <v>375</v>
      </c>
      <c r="B32" s="71" t="s">
        <v>955</v>
      </c>
      <c r="C32" s="71" t="s">
        <v>948</v>
      </c>
      <c r="D32" s="71" t="s">
        <v>1045</v>
      </c>
      <c r="E32" s="71" t="s">
        <v>445</v>
      </c>
      <c r="F32" s="157" t="s">
        <v>1046</v>
      </c>
      <c r="G32" s="71" t="s">
        <v>1047</v>
      </c>
      <c r="H32" s="71" t="s">
        <v>961</v>
      </c>
    </row>
    <row r="33" spans="1:10" ht="45">
      <c r="A33" s="71" t="s">
        <v>375</v>
      </c>
      <c r="B33" s="71" t="s">
        <v>955</v>
      </c>
      <c r="C33" s="71" t="s">
        <v>948</v>
      </c>
      <c r="D33" s="71" t="s">
        <v>1048</v>
      </c>
      <c r="E33" s="71" t="s">
        <v>445</v>
      </c>
      <c r="F33" s="71" t="s">
        <v>1049</v>
      </c>
      <c r="G33" s="71" t="s">
        <v>1050</v>
      </c>
      <c r="H33" s="71" t="s">
        <v>380</v>
      </c>
      <c r="J33" s="71" t="s">
        <v>954</v>
      </c>
    </row>
    <row r="34" spans="1:10" ht="60">
      <c r="A34" s="71" t="s">
        <v>375</v>
      </c>
      <c r="B34" s="71" t="s">
        <v>955</v>
      </c>
      <c r="C34" s="71" t="s">
        <v>948</v>
      </c>
      <c r="D34" s="71" t="s">
        <v>1051</v>
      </c>
      <c r="E34" s="71" t="s">
        <v>445</v>
      </c>
      <c r="F34" s="71" t="s">
        <v>1052</v>
      </c>
      <c r="G34" s="71" t="s">
        <v>1053</v>
      </c>
      <c r="H34" s="71" t="s">
        <v>961</v>
      </c>
    </row>
    <row r="35" spans="1:10" ht="30">
      <c r="A35" s="71" t="s">
        <v>375</v>
      </c>
      <c r="B35" s="71" t="s">
        <v>955</v>
      </c>
      <c r="C35" s="71" t="s">
        <v>1016</v>
      </c>
      <c r="D35" s="71" t="s">
        <v>1054</v>
      </c>
      <c r="E35" s="71" t="s">
        <v>1054</v>
      </c>
      <c r="F35" s="71" t="s">
        <v>1055</v>
      </c>
      <c r="G35" s="71" t="s">
        <v>824</v>
      </c>
      <c r="H35" s="71" t="s">
        <v>961</v>
      </c>
    </row>
    <row r="36" spans="1:10" ht="30">
      <c r="A36" s="71" t="s">
        <v>375</v>
      </c>
      <c r="B36" s="71" t="s">
        <v>955</v>
      </c>
      <c r="C36" s="71" t="s">
        <v>1016</v>
      </c>
      <c r="D36" s="71" t="s">
        <v>1056</v>
      </c>
      <c r="F36" s="71" t="s">
        <v>1057</v>
      </c>
      <c r="H36" s="71" t="s">
        <v>961</v>
      </c>
    </row>
    <row r="37" spans="1:10" ht="30">
      <c r="A37" s="71" t="s">
        <v>375</v>
      </c>
      <c r="B37" s="71" t="s">
        <v>955</v>
      </c>
      <c r="C37" s="71" t="s">
        <v>1058</v>
      </c>
      <c r="D37" s="71" t="s">
        <v>1059</v>
      </c>
      <c r="F37" s="71" t="s">
        <v>1060</v>
      </c>
      <c r="G37" s="71" t="s">
        <v>1061</v>
      </c>
      <c r="H37" s="71" t="s">
        <v>380</v>
      </c>
      <c r="J37" s="71" t="s">
        <v>954</v>
      </c>
    </row>
    <row r="38" spans="1:10" ht="30">
      <c r="A38" s="71" t="s">
        <v>375</v>
      </c>
      <c r="B38" s="71" t="s">
        <v>955</v>
      </c>
      <c r="C38" s="71" t="s">
        <v>1058</v>
      </c>
      <c r="D38" s="71" t="s">
        <v>1062</v>
      </c>
      <c r="F38" s="71" t="s">
        <v>1063</v>
      </c>
      <c r="G38" s="71" t="s">
        <v>1064</v>
      </c>
      <c r="H38" s="71" t="s">
        <v>961</v>
      </c>
      <c r="J38" s="71" t="s">
        <v>954</v>
      </c>
    </row>
    <row r="39" spans="1:10" ht="30">
      <c r="A39" s="71" t="s">
        <v>375</v>
      </c>
      <c r="B39" s="71" t="s">
        <v>955</v>
      </c>
      <c r="C39" s="71" t="s">
        <v>1058</v>
      </c>
      <c r="D39" s="71" t="s">
        <v>1065</v>
      </c>
      <c r="F39" s="71" t="s">
        <v>1066</v>
      </c>
      <c r="G39" s="71" t="s">
        <v>1067</v>
      </c>
      <c r="H39" s="71" t="s">
        <v>380</v>
      </c>
      <c r="J39" s="71" t="s">
        <v>954</v>
      </c>
    </row>
    <row r="40" spans="1:10" ht="30">
      <c r="A40" s="71" t="s">
        <v>375</v>
      </c>
      <c r="B40" s="71" t="s">
        <v>955</v>
      </c>
      <c r="C40" s="71" t="s">
        <v>1058</v>
      </c>
      <c r="D40" s="71" t="s">
        <v>1068</v>
      </c>
      <c r="F40" s="71" t="s">
        <v>1069</v>
      </c>
      <c r="G40" s="71" t="s">
        <v>1067</v>
      </c>
      <c r="H40" s="71" t="s">
        <v>961</v>
      </c>
      <c r="J40" s="71" t="s">
        <v>954</v>
      </c>
    </row>
    <row r="41" spans="1:10" ht="30">
      <c r="A41" s="71" t="s">
        <v>375</v>
      </c>
      <c r="B41" s="71" t="s">
        <v>955</v>
      </c>
      <c r="C41" s="71" t="s">
        <v>1058</v>
      </c>
      <c r="D41" s="71" t="s">
        <v>1070</v>
      </c>
      <c r="F41" s="71" t="s">
        <v>1071</v>
      </c>
      <c r="G41" s="71" t="s">
        <v>1072</v>
      </c>
      <c r="H41" s="71" t="s">
        <v>961</v>
      </c>
    </row>
    <row r="42" spans="1:10" ht="45">
      <c r="A42" s="71" t="s">
        <v>375</v>
      </c>
      <c r="B42" s="71" t="s">
        <v>955</v>
      </c>
      <c r="C42" s="71" t="s">
        <v>1016</v>
      </c>
      <c r="D42" s="71" t="s">
        <v>1073</v>
      </c>
      <c r="E42" s="71" t="s">
        <v>1074</v>
      </c>
      <c r="F42" s="71" t="s">
        <v>1075</v>
      </c>
    </row>
    <row r="43" spans="1:10" ht="30">
      <c r="A43" s="71" t="s">
        <v>375</v>
      </c>
      <c r="B43" s="71" t="s">
        <v>955</v>
      </c>
      <c r="C43" s="71" t="s">
        <v>1016</v>
      </c>
      <c r="D43" s="71" t="s">
        <v>1076</v>
      </c>
      <c r="F43" s="71" t="s">
        <v>1077</v>
      </c>
      <c r="H43" s="71" t="s">
        <v>961</v>
      </c>
    </row>
    <row r="44" spans="1:10" ht="45">
      <c r="A44" s="71" t="s">
        <v>375</v>
      </c>
      <c r="B44" s="71" t="s">
        <v>955</v>
      </c>
      <c r="C44" s="71" t="s">
        <v>1016</v>
      </c>
      <c r="D44" s="71" t="s">
        <v>1078</v>
      </c>
      <c r="F44" s="71" t="s">
        <v>1079</v>
      </c>
      <c r="H44" s="71" t="s">
        <v>961</v>
      </c>
    </row>
    <row r="45" spans="1:10" ht="30">
      <c r="A45" s="71" t="s">
        <v>375</v>
      </c>
      <c r="B45" s="71" t="s">
        <v>955</v>
      </c>
      <c r="C45" s="71" t="s">
        <v>1016</v>
      </c>
      <c r="D45" s="71" t="s">
        <v>1080</v>
      </c>
      <c r="F45" s="71" t="s">
        <v>1081</v>
      </c>
      <c r="H45" s="71" t="s">
        <v>961</v>
      </c>
    </row>
    <row r="46" spans="1:10" ht="45">
      <c r="A46" s="71" t="s">
        <v>375</v>
      </c>
      <c r="B46" s="71" t="s">
        <v>955</v>
      </c>
      <c r="C46" s="71" t="s">
        <v>1016</v>
      </c>
      <c r="D46" s="71" t="s">
        <v>1082</v>
      </c>
      <c r="F46" s="71" t="s">
        <v>1083</v>
      </c>
      <c r="H46" s="71" t="s">
        <v>961</v>
      </c>
    </row>
    <row r="47" spans="1:10" ht="30">
      <c r="A47" s="71" t="s">
        <v>375</v>
      </c>
      <c r="B47" s="71" t="s">
        <v>955</v>
      </c>
      <c r="C47" s="71" t="s">
        <v>1016</v>
      </c>
      <c r="D47" s="71" t="s">
        <v>448</v>
      </c>
      <c r="F47" s="71" t="s">
        <v>1084</v>
      </c>
      <c r="G47" s="71" t="s">
        <v>1085</v>
      </c>
      <c r="H47" s="71" t="s">
        <v>380</v>
      </c>
    </row>
    <row r="48" spans="1:10">
      <c r="A48" s="71" t="s">
        <v>375</v>
      </c>
      <c r="B48" s="71" t="s">
        <v>955</v>
      </c>
      <c r="C48" s="71" t="s">
        <v>1016</v>
      </c>
      <c r="D48" s="71" t="s">
        <v>1086</v>
      </c>
      <c r="F48" s="71" t="s">
        <v>1087</v>
      </c>
      <c r="G48" s="71" t="s">
        <v>241</v>
      </c>
      <c r="H48" s="71" t="s">
        <v>961</v>
      </c>
    </row>
  </sheetData>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831AE-B283-1944-BCB6-9A6A20EADE88}">
  <sheetPr>
    <tabColor theme="8" tint="-0.249977111117893"/>
  </sheetPr>
  <dimension ref="A1:S66"/>
  <sheetViews>
    <sheetView topLeftCell="A48" workbookViewId="0">
      <selection activeCell="B65" sqref="B65"/>
    </sheetView>
  </sheetViews>
  <sheetFormatPr defaultColWidth="9.140625" defaultRowHeight="15" outlineLevelRow="1"/>
  <cols>
    <col min="1" max="1" width="41.42578125" style="161" customWidth="1"/>
    <col min="2" max="2" width="17.140625" style="162" bestFit="1" customWidth="1"/>
    <col min="3" max="3" width="16.42578125" style="162" bestFit="1" customWidth="1"/>
    <col min="4" max="4" width="18.42578125" style="162" bestFit="1" customWidth="1"/>
    <col min="5" max="5" width="67.42578125" style="161" customWidth="1"/>
    <col min="6" max="6" width="20.42578125" style="161" bestFit="1" customWidth="1"/>
    <col min="7" max="7" width="11.140625" style="162" bestFit="1" customWidth="1"/>
    <col min="8" max="8" width="22.42578125" style="163" bestFit="1" customWidth="1"/>
    <col min="9" max="9" width="47.7109375" style="160" customWidth="1"/>
    <col min="10" max="16384" width="9.140625" style="160"/>
  </cols>
  <sheetData>
    <row r="1" spans="1:19">
      <c r="A1" s="164" t="s">
        <v>46</v>
      </c>
      <c r="B1" s="165" t="s">
        <v>47</v>
      </c>
      <c r="C1" s="165" t="s">
        <v>48</v>
      </c>
      <c r="D1" s="165" t="s">
        <v>1088</v>
      </c>
      <c r="E1" s="164" t="s">
        <v>49</v>
      </c>
      <c r="F1" s="164" t="s">
        <v>50</v>
      </c>
      <c r="G1" s="165" t="s">
        <v>51</v>
      </c>
      <c r="H1" s="165" t="s">
        <v>1089</v>
      </c>
      <c r="I1" s="166" t="s">
        <v>52</v>
      </c>
    </row>
    <row r="2" spans="1:19">
      <c r="A2" s="167" t="s">
        <v>1090</v>
      </c>
      <c r="B2" s="168" t="s">
        <v>1091</v>
      </c>
      <c r="C2" s="168" t="s">
        <v>1091</v>
      </c>
      <c r="D2" s="169"/>
      <c r="E2" s="170" t="s">
        <v>1091</v>
      </c>
      <c r="F2" s="170" t="s">
        <v>1091</v>
      </c>
      <c r="G2" s="168" t="s">
        <v>1091</v>
      </c>
      <c r="H2" s="171"/>
      <c r="I2" s="172" t="s">
        <v>1091</v>
      </c>
    </row>
    <row r="3" spans="1:19" ht="30" hidden="1" outlineLevel="1">
      <c r="A3" s="159" t="s">
        <v>1092</v>
      </c>
      <c r="B3" s="173" t="s">
        <v>167</v>
      </c>
      <c r="C3" s="174">
        <v>2.5280319999999998E-2</v>
      </c>
      <c r="D3" s="173" t="s">
        <v>83</v>
      </c>
      <c r="E3" s="159" t="s">
        <v>1093</v>
      </c>
      <c r="F3" s="159" t="s">
        <v>1094</v>
      </c>
      <c r="G3" s="173">
        <v>2022</v>
      </c>
      <c r="H3" s="175"/>
      <c r="I3" s="176" t="s">
        <v>1095</v>
      </c>
    </row>
    <row r="4" spans="1:19" collapsed="1">
      <c r="A4" s="159"/>
      <c r="B4" s="173"/>
      <c r="C4" s="177"/>
      <c r="D4" s="173"/>
      <c r="E4" s="159"/>
      <c r="F4" s="159"/>
      <c r="G4" s="173"/>
      <c r="H4" s="175"/>
      <c r="I4" s="178"/>
    </row>
    <row r="5" spans="1:19">
      <c r="A5" s="179" t="s">
        <v>1096</v>
      </c>
      <c r="B5" s="168"/>
      <c r="C5" s="168"/>
      <c r="D5" s="180"/>
      <c r="E5" s="170" t="s">
        <v>1091</v>
      </c>
      <c r="F5" s="170" t="s">
        <v>1091</v>
      </c>
      <c r="G5" s="168" t="s">
        <v>1091</v>
      </c>
      <c r="H5" s="171"/>
      <c r="I5" s="172" t="s">
        <v>1091</v>
      </c>
    </row>
    <row r="6" spans="1:19" ht="15.75" hidden="1" outlineLevel="1">
      <c r="A6" s="159" t="s">
        <v>1097</v>
      </c>
      <c r="B6" s="173" t="s">
        <v>1098</v>
      </c>
      <c r="C6" s="181">
        <f>6/(CONVERT(1,"ft^2","m^2"))</f>
        <v>64.583462500258335</v>
      </c>
      <c r="D6" s="173"/>
      <c r="E6" s="159" t="s">
        <v>1099</v>
      </c>
      <c r="F6" s="159" t="s">
        <v>1100</v>
      </c>
      <c r="G6" s="173">
        <v>2021</v>
      </c>
      <c r="H6" s="159"/>
      <c r="I6" s="176" t="s">
        <v>1101</v>
      </c>
    </row>
    <row r="7" spans="1:19" hidden="1" outlineLevel="1">
      <c r="A7" s="159"/>
      <c r="B7" s="173"/>
      <c r="C7" s="182"/>
      <c r="D7" s="173"/>
      <c r="E7" s="159"/>
      <c r="F7" s="159"/>
      <c r="G7" s="173"/>
      <c r="H7" s="175"/>
      <c r="I7" s="178"/>
    </row>
    <row r="8" spans="1:19" collapsed="1">
      <c r="A8" s="179" t="s">
        <v>1102</v>
      </c>
      <c r="B8" s="168"/>
      <c r="C8" s="168" t="s">
        <v>1091</v>
      </c>
      <c r="D8" s="180"/>
      <c r="E8" s="170" t="s">
        <v>1091</v>
      </c>
      <c r="F8" s="170" t="s">
        <v>1091</v>
      </c>
      <c r="G8" s="168" t="s">
        <v>1091</v>
      </c>
      <c r="H8" s="171"/>
      <c r="I8" s="172" t="s">
        <v>1091</v>
      </c>
    </row>
    <row r="9" spans="1:19" ht="30" hidden="1" outlineLevel="1">
      <c r="A9" s="161" t="s">
        <v>1103</v>
      </c>
      <c r="B9" s="162" t="s">
        <v>167</v>
      </c>
      <c r="C9" s="183">
        <v>6.5000000000000002E-2</v>
      </c>
      <c r="D9" s="162" t="s">
        <v>369</v>
      </c>
      <c r="E9" s="161" t="s">
        <v>1104</v>
      </c>
      <c r="F9" s="161" t="s">
        <v>1105</v>
      </c>
      <c r="G9" s="162">
        <v>2022</v>
      </c>
      <c r="H9" s="163" t="s">
        <v>1106</v>
      </c>
      <c r="I9" s="176" t="s">
        <v>1107</v>
      </c>
      <c r="S9" s="160" t="s">
        <v>1108</v>
      </c>
    </row>
    <row r="10" spans="1:19" ht="30" hidden="1" outlineLevel="1">
      <c r="A10" s="161" t="s">
        <v>1109</v>
      </c>
      <c r="B10" s="162" t="s">
        <v>167</v>
      </c>
      <c r="C10" s="184">
        <v>0.01</v>
      </c>
      <c r="D10" s="162" t="s">
        <v>375</v>
      </c>
      <c r="E10" s="185"/>
      <c r="F10" s="161" t="s">
        <v>1110</v>
      </c>
      <c r="G10" s="162">
        <v>2013</v>
      </c>
      <c r="H10" s="163" t="s">
        <v>1111</v>
      </c>
    </row>
    <row r="11" spans="1:19" collapsed="1">
      <c r="A11" s="159"/>
      <c r="B11" s="173"/>
      <c r="C11" s="173"/>
      <c r="D11" s="173"/>
      <c r="E11" s="159"/>
      <c r="F11" s="159"/>
      <c r="G11" s="173"/>
      <c r="H11" s="175"/>
      <c r="I11" s="178"/>
    </row>
    <row r="12" spans="1:19">
      <c r="A12" s="179" t="s">
        <v>1112</v>
      </c>
      <c r="B12" s="168"/>
      <c r="C12" s="168" t="s">
        <v>1091</v>
      </c>
      <c r="D12" s="180"/>
      <c r="E12" s="170" t="s">
        <v>1091</v>
      </c>
      <c r="F12" s="170" t="s">
        <v>1091</v>
      </c>
      <c r="G12" s="168" t="s">
        <v>1091</v>
      </c>
      <c r="H12" s="171"/>
      <c r="I12" s="172" t="s">
        <v>1091</v>
      </c>
    </row>
    <row r="13" spans="1:19" ht="15.75" outlineLevel="1">
      <c r="A13" s="159" t="s">
        <v>1113</v>
      </c>
      <c r="B13" s="173" t="s">
        <v>116</v>
      </c>
      <c r="C13" s="173">
        <v>2.74</v>
      </c>
      <c r="D13" s="173"/>
      <c r="E13" s="178" t="s">
        <v>1114</v>
      </c>
      <c r="F13" s="159" t="s">
        <v>593</v>
      </c>
      <c r="G13" s="173">
        <v>2018</v>
      </c>
      <c r="H13" s="175"/>
      <c r="I13" s="176" t="s">
        <v>1115</v>
      </c>
    </row>
    <row r="14" spans="1:19" outlineLevel="1">
      <c r="A14" s="159" t="s">
        <v>1116</v>
      </c>
      <c r="B14" s="173" t="s">
        <v>116</v>
      </c>
      <c r="C14" s="173">
        <f>0.68*0.88</f>
        <v>0.59840000000000004</v>
      </c>
      <c r="D14" s="173"/>
      <c r="E14" s="159"/>
      <c r="F14" s="159" t="s">
        <v>617</v>
      </c>
      <c r="G14" s="173">
        <v>2015</v>
      </c>
      <c r="H14" s="175"/>
      <c r="I14" s="178"/>
    </row>
    <row r="15" spans="1:19" ht="30" outlineLevel="1">
      <c r="A15" s="159" t="s">
        <v>1117</v>
      </c>
      <c r="B15" s="173" t="s">
        <v>116</v>
      </c>
      <c r="C15" s="186">
        <f>(1410+905+645+385)/420*0.848/0.689</f>
        <v>9.8021978021978029</v>
      </c>
      <c r="D15" s="173"/>
      <c r="E15" s="159" t="s">
        <v>1118</v>
      </c>
      <c r="F15" s="159" t="s">
        <v>106</v>
      </c>
      <c r="G15" s="173">
        <v>2005</v>
      </c>
      <c r="H15" s="175"/>
      <c r="I15" s="178"/>
    </row>
    <row r="16" spans="1:19" ht="30" outlineLevel="1">
      <c r="A16" s="159" t="s">
        <v>1119</v>
      </c>
      <c r="B16" s="173" t="s">
        <v>116</v>
      </c>
      <c r="C16" s="187">
        <f>0.36*0.848/0.689</f>
        <v>0.44307692307692309</v>
      </c>
      <c r="D16" s="173"/>
      <c r="E16" s="159" t="s">
        <v>1120</v>
      </c>
      <c r="F16" s="159" t="s">
        <v>106</v>
      </c>
      <c r="G16" s="173">
        <v>2005</v>
      </c>
      <c r="H16" s="175"/>
      <c r="I16" s="178"/>
    </row>
    <row r="17" spans="1:9" outlineLevel="1">
      <c r="A17" s="159" t="s">
        <v>1121</v>
      </c>
      <c r="B17" s="188" t="s">
        <v>146</v>
      </c>
      <c r="C17" s="189">
        <f>774/420</f>
        <v>1.8428571428571427</v>
      </c>
      <c r="D17" s="173"/>
      <c r="E17" s="159" t="s">
        <v>1122</v>
      </c>
      <c r="F17" s="159" t="s">
        <v>106</v>
      </c>
      <c r="G17" s="173">
        <v>2005</v>
      </c>
      <c r="H17" s="175"/>
      <c r="I17" s="178"/>
    </row>
    <row r="18" spans="1:9" ht="60" outlineLevel="1">
      <c r="A18" s="159" t="s">
        <v>1123</v>
      </c>
      <c r="B18" s="173" t="s">
        <v>1098</v>
      </c>
      <c r="C18" s="173">
        <v>1.72</v>
      </c>
      <c r="D18" s="173"/>
      <c r="E18" s="159" t="s">
        <v>1124</v>
      </c>
      <c r="F18" s="159" t="s">
        <v>140</v>
      </c>
      <c r="G18" s="173">
        <v>2015</v>
      </c>
      <c r="H18" s="175" t="s">
        <v>1125</v>
      </c>
      <c r="I18" s="178"/>
    </row>
    <row r="19" spans="1:9" ht="45" outlineLevel="1">
      <c r="A19" s="159" t="s">
        <v>115</v>
      </c>
      <c r="B19" s="173" t="s">
        <v>116</v>
      </c>
      <c r="C19" s="190">
        <f>500*0.896/1.626</f>
        <v>275.5227552275523</v>
      </c>
      <c r="D19" s="173"/>
      <c r="E19" s="159" t="s">
        <v>1126</v>
      </c>
      <c r="F19" s="159" t="s">
        <v>118</v>
      </c>
      <c r="G19" s="173">
        <v>2018</v>
      </c>
      <c r="H19" s="175"/>
      <c r="I19" s="176" t="s">
        <v>119</v>
      </c>
    </row>
    <row r="20" spans="1:9" ht="30" outlineLevel="1">
      <c r="A20" s="159" t="s">
        <v>1127</v>
      </c>
      <c r="B20" s="173" t="s">
        <v>116</v>
      </c>
      <c r="C20" s="173">
        <f>400*0.847</f>
        <v>338.8</v>
      </c>
      <c r="D20" s="173"/>
      <c r="E20" s="191" t="s">
        <v>1128</v>
      </c>
      <c r="F20" s="159" t="s">
        <v>1129</v>
      </c>
      <c r="G20" s="173">
        <v>2011</v>
      </c>
      <c r="H20" s="175"/>
      <c r="I20" s="176" t="s">
        <v>1130</v>
      </c>
    </row>
    <row r="21" spans="1:9" ht="30" outlineLevel="1">
      <c r="A21" s="159" t="s">
        <v>1131</v>
      </c>
      <c r="B21" s="173" t="s">
        <v>1132</v>
      </c>
      <c r="C21" s="173">
        <v>0.06</v>
      </c>
      <c r="D21" s="173"/>
      <c r="E21" s="159" t="s">
        <v>1133</v>
      </c>
      <c r="F21" s="159" t="s">
        <v>144</v>
      </c>
      <c r="G21" s="173">
        <v>2008</v>
      </c>
      <c r="H21" s="175"/>
      <c r="I21" s="178"/>
    </row>
    <row r="22" spans="1:9" ht="30" outlineLevel="1">
      <c r="A22" s="159" t="s">
        <v>1134</v>
      </c>
      <c r="B22" s="173" t="s">
        <v>146</v>
      </c>
      <c r="C22" s="173">
        <v>1.4</v>
      </c>
      <c r="D22" s="173"/>
      <c r="E22" s="159" t="s">
        <v>1135</v>
      </c>
      <c r="F22" s="159" t="s">
        <v>148</v>
      </c>
      <c r="G22" s="173">
        <v>2014</v>
      </c>
      <c r="H22" s="175" t="s">
        <v>1136</v>
      </c>
      <c r="I22" s="178"/>
    </row>
    <row r="23" spans="1:9">
      <c r="A23" s="159"/>
      <c r="B23" s="173"/>
      <c r="C23" s="173"/>
      <c r="D23" s="173"/>
      <c r="E23" s="159"/>
      <c r="F23" s="159"/>
      <c r="G23" s="173"/>
      <c r="H23" s="175"/>
      <c r="I23" s="178"/>
    </row>
    <row r="24" spans="1:9">
      <c r="A24" s="179" t="s">
        <v>1137</v>
      </c>
      <c r="B24" s="168"/>
      <c r="C24" s="168" t="s">
        <v>1091</v>
      </c>
      <c r="D24" s="180"/>
      <c r="E24" s="170" t="s">
        <v>1091</v>
      </c>
      <c r="F24" s="170" t="s">
        <v>1091</v>
      </c>
      <c r="G24" s="168" t="s">
        <v>1091</v>
      </c>
      <c r="H24" s="171"/>
      <c r="I24" s="172" t="s">
        <v>1091</v>
      </c>
    </row>
    <row r="25" spans="1:9" ht="30" hidden="1" outlineLevel="1">
      <c r="A25" s="159" t="s">
        <v>1138</v>
      </c>
      <c r="B25" s="173" t="s">
        <v>1139</v>
      </c>
      <c r="C25" s="181">
        <f>5070/22/8</f>
        <v>28.806818181818183</v>
      </c>
      <c r="D25" s="173"/>
      <c r="E25" s="159" t="s">
        <v>1140</v>
      </c>
      <c r="F25" s="159" t="s">
        <v>1141</v>
      </c>
      <c r="G25" s="173">
        <v>2023</v>
      </c>
      <c r="H25" s="175" t="s">
        <v>1142</v>
      </c>
      <c r="I25" s="178"/>
    </row>
    <row r="26" spans="1:9" ht="45" hidden="1" outlineLevel="1">
      <c r="A26" s="159" t="s">
        <v>1143</v>
      </c>
      <c r="B26" s="173" t="s">
        <v>167</v>
      </c>
      <c r="C26" s="177">
        <v>0.1429</v>
      </c>
      <c r="D26" s="173"/>
      <c r="E26" s="159" t="s">
        <v>742</v>
      </c>
      <c r="F26" s="159" t="s">
        <v>743</v>
      </c>
      <c r="G26" s="173">
        <v>2018</v>
      </c>
      <c r="H26" s="175" t="s">
        <v>1136</v>
      </c>
      <c r="I26" s="178"/>
    </row>
    <row r="27" spans="1:9" ht="90" hidden="1" outlineLevel="1">
      <c r="A27" s="159" t="s">
        <v>1144</v>
      </c>
      <c r="B27" s="173" t="s">
        <v>1145</v>
      </c>
      <c r="C27" s="192">
        <v>2834.9</v>
      </c>
      <c r="D27" s="173"/>
      <c r="E27" s="193" t="s">
        <v>1146</v>
      </c>
      <c r="F27" s="193" t="s">
        <v>914</v>
      </c>
      <c r="G27" s="173">
        <v>2016</v>
      </c>
      <c r="H27" s="159" t="s">
        <v>1147</v>
      </c>
      <c r="I27" s="178"/>
    </row>
    <row r="28" spans="1:9" ht="30" hidden="1" outlineLevel="1">
      <c r="A28" s="159" t="s">
        <v>166</v>
      </c>
      <c r="B28" s="173" t="s">
        <v>1148</v>
      </c>
      <c r="C28" s="194">
        <f>(15.5-10.2)/(90-10)</f>
        <v>6.6250000000000003E-2</v>
      </c>
      <c r="D28" s="173"/>
      <c r="E28" s="159" t="s">
        <v>168</v>
      </c>
      <c r="F28" s="159" t="s">
        <v>169</v>
      </c>
      <c r="G28" s="173">
        <v>2006</v>
      </c>
      <c r="H28" s="175" t="s">
        <v>1136</v>
      </c>
      <c r="I28" s="178"/>
    </row>
    <row r="29" spans="1:9" collapsed="1">
      <c r="A29" s="159"/>
      <c r="B29" s="173"/>
      <c r="C29" s="173"/>
      <c r="D29" s="173"/>
      <c r="E29" s="159"/>
      <c r="F29" s="159"/>
      <c r="G29" s="173"/>
      <c r="H29" s="175"/>
      <c r="I29" s="178"/>
    </row>
    <row r="30" spans="1:9">
      <c r="A30" s="167" t="s">
        <v>772</v>
      </c>
      <c r="B30" s="168" t="s">
        <v>1091</v>
      </c>
      <c r="C30" s="168" t="s">
        <v>1091</v>
      </c>
      <c r="D30" s="169"/>
      <c r="E30" s="170" t="s">
        <v>1091</v>
      </c>
      <c r="F30" s="170" t="s">
        <v>1091</v>
      </c>
      <c r="G30" s="168" t="s">
        <v>1091</v>
      </c>
      <c r="H30" s="171"/>
      <c r="I30" s="172" t="s">
        <v>1091</v>
      </c>
    </row>
    <row r="31" spans="1:9" outlineLevel="1">
      <c r="A31" s="159" t="s">
        <v>75</v>
      </c>
      <c r="B31" s="173" t="s">
        <v>76</v>
      </c>
      <c r="C31" s="181">
        <v>0.32281900000000002</v>
      </c>
      <c r="D31" s="173"/>
      <c r="E31" s="159" t="s">
        <v>775</v>
      </c>
      <c r="F31" s="159" t="s">
        <v>1149</v>
      </c>
      <c r="G31" s="173">
        <v>2022</v>
      </c>
      <c r="H31" s="175" t="s">
        <v>1136</v>
      </c>
      <c r="I31" s="178"/>
    </row>
    <row r="32" spans="1:9" ht="30" outlineLevel="1">
      <c r="A32" s="159" t="s">
        <v>1150</v>
      </c>
      <c r="B32" s="173" t="s">
        <v>167</v>
      </c>
      <c r="C32" s="177">
        <v>3.9199999999999999E-2</v>
      </c>
      <c r="D32" s="173"/>
      <c r="E32" s="159" t="s">
        <v>1151</v>
      </c>
      <c r="F32" s="159" t="s">
        <v>1152</v>
      </c>
      <c r="G32" s="173">
        <v>2022</v>
      </c>
      <c r="H32" s="175" t="s">
        <v>1136</v>
      </c>
      <c r="I32" s="178"/>
    </row>
    <row r="33" spans="1:9" ht="30" outlineLevel="1">
      <c r="A33" s="159" t="s">
        <v>80</v>
      </c>
      <c r="B33" s="173" t="s">
        <v>1153</v>
      </c>
      <c r="C33" s="195">
        <v>940</v>
      </c>
      <c r="D33" s="173"/>
      <c r="E33" s="193" t="s">
        <v>81</v>
      </c>
      <c r="F33" s="159" t="s">
        <v>82</v>
      </c>
      <c r="G33" s="173" t="s">
        <v>83</v>
      </c>
      <c r="H33" s="175"/>
      <c r="I33" s="176" t="s">
        <v>84</v>
      </c>
    </row>
    <row r="34" spans="1:9" ht="30" outlineLevel="1">
      <c r="A34" s="159" t="s">
        <v>85</v>
      </c>
      <c r="B34" s="173" t="s">
        <v>1153</v>
      </c>
      <c r="C34" s="195">
        <v>10</v>
      </c>
      <c r="D34" s="173"/>
      <c r="E34" s="193" t="s">
        <v>86</v>
      </c>
      <c r="F34" s="159" t="s">
        <v>82</v>
      </c>
      <c r="G34" s="173" t="s">
        <v>83</v>
      </c>
      <c r="H34" s="175"/>
      <c r="I34" s="176" t="s">
        <v>84</v>
      </c>
    </row>
    <row r="35" spans="1:9" ht="30" outlineLevel="1">
      <c r="A35" s="159" t="s">
        <v>1154</v>
      </c>
      <c r="B35" s="173" t="s">
        <v>1153</v>
      </c>
      <c r="C35" s="195">
        <v>1540</v>
      </c>
      <c r="D35" s="173"/>
      <c r="E35" s="193" t="s">
        <v>1155</v>
      </c>
      <c r="F35" s="159" t="s">
        <v>82</v>
      </c>
      <c r="G35" s="173" t="s">
        <v>83</v>
      </c>
      <c r="H35" s="175"/>
      <c r="I35" s="176" t="s">
        <v>84</v>
      </c>
    </row>
    <row r="36" spans="1:9" ht="30" outlineLevel="1">
      <c r="A36" s="159" t="s">
        <v>1156</v>
      </c>
      <c r="B36" s="173" t="s">
        <v>1153</v>
      </c>
      <c r="C36" s="195">
        <v>19</v>
      </c>
      <c r="D36" s="173"/>
      <c r="E36" s="193" t="s">
        <v>1155</v>
      </c>
      <c r="F36" s="159" t="s">
        <v>82</v>
      </c>
      <c r="G36" s="173" t="s">
        <v>83</v>
      </c>
      <c r="H36" s="175"/>
      <c r="I36" s="176" t="s">
        <v>84</v>
      </c>
    </row>
    <row r="37" spans="1:9">
      <c r="A37" s="167" t="s">
        <v>1157</v>
      </c>
      <c r="B37" s="168" t="s">
        <v>1091</v>
      </c>
      <c r="C37" s="168" t="s">
        <v>1091</v>
      </c>
      <c r="D37" s="169"/>
      <c r="E37" s="170" t="s">
        <v>1091</v>
      </c>
      <c r="F37" s="170" t="s">
        <v>1091</v>
      </c>
      <c r="G37" s="168" t="s">
        <v>1091</v>
      </c>
      <c r="H37" s="171"/>
      <c r="I37" s="172" t="s">
        <v>1091</v>
      </c>
    </row>
    <row r="38" spans="1:9">
      <c r="A38" s="159"/>
      <c r="B38" s="173"/>
      <c r="C38" s="173"/>
      <c r="D38" s="173"/>
      <c r="E38" s="159"/>
      <c r="F38" s="159"/>
      <c r="G38" s="173"/>
      <c r="H38" s="175"/>
      <c r="I38" s="178"/>
    </row>
    <row r="39" spans="1:9" ht="15.75">
      <c r="A39" s="159" t="s">
        <v>660</v>
      </c>
      <c r="B39" s="173" t="s">
        <v>239</v>
      </c>
      <c r="C39" s="195">
        <v>620000</v>
      </c>
      <c r="D39" s="173"/>
      <c r="E39" s="159"/>
      <c r="F39" s="159" t="s">
        <v>1158</v>
      </c>
      <c r="G39" s="173">
        <v>2023</v>
      </c>
      <c r="H39" s="175" t="s">
        <v>1142</v>
      </c>
      <c r="I39" s="176" t="s">
        <v>1159</v>
      </c>
    </row>
    <row r="40" spans="1:9" ht="15.75">
      <c r="A40" s="159" t="s">
        <v>1160</v>
      </c>
      <c r="B40" s="173" t="s">
        <v>239</v>
      </c>
      <c r="C40" s="195">
        <v>347200.00000000006</v>
      </c>
      <c r="D40" s="173"/>
      <c r="E40" s="159" t="s">
        <v>664</v>
      </c>
      <c r="F40" s="159" t="s">
        <v>665</v>
      </c>
      <c r="G40" s="173">
        <v>2011</v>
      </c>
      <c r="H40" s="175" t="s">
        <v>1161</v>
      </c>
      <c r="I40" s="176" t="s">
        <v>1162</v>
      </c>
    </row>
    <row r="41" spans="1:9">
      <c r="A41" s="159" t="s">
        <v>676</v>
      </c>
      <c r="B41" s="173" t="s">
        <v>1163</v>
      </c>
      <c r="C41" s="173">
        <v>0.35</v>
      </c>
      <c r="D41" s="173"/>
      <c r="E41" s="159" t="s">
        <v>1164</v>
      </c>
      <c r="F41" s="159" t="s">
        <v>668</v>
      </c>
      <c r="G41" s="173">
        <v>2021</v>
      </c>
      <c r="H41" s="175"/>
    </row>
    <row r="42" spans="1:9" ht="30">
      <c r="A42" s="159" t="s">
        <v>1165</v>
      </c>
      <c r="B42" s="173" t="s">
        <v>1166</v>
      </c>
      <c r="C42" s="195">
        <v>6059752</v>
      </c>
      <c r="D42" s="173"/>
      <c r="E42" s="159" t="s">
        <v>1167</v>
      </c>
      <c r="F42" s="159" t="s">
        <v>668</v>
      </c>
      <c r="G42" s="173">
        <v>2015</v>
      </c>
      <c r="H42" s="175" t="s">
        <v>1168</v>
      </c>
      <c r="I42" s="178" t="s">
        <v>1169</v>
      </c>
    </row>
    <row r="43" spans="1:9" ht="15.75">
      <c r="A43" s="159" t="s">
        <v>1170</v>
      </c>
      <c r="B43" s="173" t="s">
        <v>1171</v>
      </c>
      <c r="C43" s="195">
        <v>5640000</v>
      </c>
      <c r="D43" s="173" t="s">
        <v>83</v>
      </c>
      <c r="E43" s="159"/>
      <c r="F43" s="159" t="s">
        <v>1172</v>
      </c>
      <c r="G43" s="173">
        <v>2022</v>
      </c>
      <c r="H43" s="175"/>
      <c r="I43" s="176" t="s">
        <v>1173</v>
      </c>
    </row>
    <row r="44" spans="1:9" ht="30">
      <c r="A44" s="159" t="s">
        <v>1138</v>
      </c>
      <c r="B44" s="173" t="s">
        <v>1139</v>
      </c>
      <c r="C44" s="181">
        <v>28.806818181818183</v>
      </c>
      <c r="D44" s="173"/>
      <c r="E44" s="159" t="s">
        <v>1140</v>
      </c>
      <c r="F44" s="159" t="s">
        <v>1141</v>
      </c>
      <c r="G44" s="173">
        <v>2023</v>
      </c>
      <c r="H44" s="175" t="s">
        <v>1142</v>
      </c>
    </row>
    <row r="45" spans="1:9" ht="240">
      <c r="A45" s="159" t="s">
        <v>1174</v>
      </c>
      <c r="B45" s="173" t="s">
        <v>167</v>
      </c>
      <c r="C45" s="177">
        <v>0.36499999999999999</v>
      </c>
      <c r="D45" s="173"/>
      <c r="E45" s="159" t="s">
        <v>924</v>
      </c>
      <c r="F45" s="159" t="s">
        <v>925</v>
      </c>
      <c r="G45" s="173">
        <v>2014</v>
      </c>
      <c r="H45" s="159" t="s">
        <v>1136</v>
      </c>
    </row>
    <row r="47" spans="1:9">
      <c r="A47" s="179" t="s">
        <v>1175</v>
      </c>
      <c r="B47" s="196"/>
      <c r="C47" s="168"/>
      <c r="D47" s="180"/>
      <c r="E47" s="170" t="s">
        <v>1091</v>
      </c>
      <c r="F47" s="170" t="s">
        <v>1091</v>
      </c>
      <c r="G47" s="168" t="s">
        <v>1091</v>
      </c>
      <c r="H47" s="171"/>
      <c r="I47" s="172" t="s">
        <v>1091</v>
      </c>
    </row>
    <row r="48" spans="1:9" ht="45">
      <c r="A48" s="161" t="s">
        <v>1176</v>
      </c>
      <c r="B48" s="162" t="s">
        <v>1177</v>
      </c>
      <c r="C48" s="162">
        <f>AVERAGE(1,7)*1.81</f>
        <v>7.24</v>
      </c>
      <c r="E48" s="161" t="s">
        <v>1178</v>
      </c>
      <c r="F48" s="161" t="s">
        <v>1179</v>
      </c>
      <c r="G48" s="162">
        <v>2011</v>
      </c>
    </row>
    <row r="49" spans="1:10" ht="45">
      <c r="A49" s="161" t="s">
        <v>1180</v>
      </c>
      <c r="B49" s="162" t="s">
        <v>1177</v>
      </c>
      <c r="C49" s="162">
        <f>AVERAGE(1,10)*0.81</f>
        <v>4.4550000000000001</v>
      </c>
      <c r="E49" s="161" t="s">
        <v>1181</v>
      </c>
      <c r="F49" s="161" t="s">
        <v>1179</v>
      </c>
      <c r="G49" s="162">
        <v>2011</v>
      </c>
    </row>
    <row r="50" spans="1:10" ht="30">
      <c r="A50" s="161" t="s">
        <v>1182</v>
      </c>
      <c r="B50" s="162" t="s">
        <v>1183</v>
      </c>
      <c r="C50" s="162">
        <v>1580</v>
      </c>
      <c r="E50" s="161" t="s">
        <v>1184</v>
      </c>
      <c r="I50" s="118" t="s">
        <v>1185</v>
      </c>
    </row>
    <row r="51" spans="1:10" ht="30">
      <c r="A51" s="161" t="s">
        <v>1186</v>
      </c>
      <c r="B51" s="162" t="s">
        <v>167</v>
      </c>
      <c r="C51" s="184">
        <v>0.22</v>
      </c>
      <c r="E51" s="161" t="s">
        <v>1187</v>
      </c>
      <c r="I51" s="118" t="s">
        <v>1188</v>
      </c>
    </row>
    <row r="52" spans="1:10" ht="30">
      <c r="A52" s="161" t="s">
        <v>1189</v>
      </c>
      <c r="B52" s="162" t="s">
        <v>1190</v>
      </c>
      <c r="C52" s="197">
        <f>0.366/(1.032*1.872)</f>
        <v>0.18945040747366329</v>
      </c>
      <c r="E52" s="161" t="s">
        <v>1191</v>
      </c>
      <c r="I52" s="118" t="s">
        <v>1188</v>
      </c>
    </row>
    <row r="53" spans="1:10">
      <c r="A53" s="161" t="s">
        <v>1192</v>
      </c>
      <c r="B53" s="162" t="s">
        <v>1183</v>
      </c>
      <c r="C53" s="162">
        <f>$C$50*$C$51</f>
        <v>347.6</v>
      </c>
      <c r="E53" s="161" t="s">
        <v>1193</v>
      </c>
    </row>
    <row r="54" spans="1:10">
      <c r="A54" s="161" t="s">
        <v>122</v>
      </c>
      <c r="B54" s="162" t="s">
        <v>123</v>
      </c>
      <c r="C54" s="198">
        <f>20*1/264.172*10.7639</f>
        <v>0.81491603954999003</v>
      </c>
      <c r="E54" s="161" t="s">
        <v>124</v>
      </c>
      <c r="I54" s="199" t="s">
        <v>125</v>
      </c>
    </row>
    <row r="56" spans="1:10" ht="30">
      <c r="A56" s="161" t="s">
        <v>1194</v>
      </c>
      <c r="B56" s="162" t="s">
        <v>1195</v>
      </c>
      <c r="C56" s="162">
        <v>1000</v>
      </c>
      <c r="I56" s="199" t="s">
        <v>1196</v>
      </c>
    </row>
    <row r="57" spans="1:10" ht="30">
      <c r="A57" s="161" t="s">
        <v>1197</v>
      </c>
      <c r="B57" s="162" t="s">
        <v>1195</v>
      </c>
      <c r="C57" s="162">
        <v>1500</v>
      </c>
      <c r="I57" s="199" t="s">
        <v>1196</v>
      </c>
    </row>
    <row r="58" spans="1:10" ht="30">
      <c r="A58" s="161" t="s">
        <v>1198</v>
      </c>
      <c r="B58" s="162" t="s">
        <v>1195</v>
      </c>
      <c r="C58" s="162">
        <v>2500</v>
      </c>
      <c r="I58" s="199" t="s">
        <v>1196</v>
      </c>
    </row>
    <row r="59" spans="1:10" ht="30">
      <c r="A59" s="161" t="s">
        <v>1199</v>
      </c>
      <c r="B59" s="162" t="s">
        <v>167</v>
      </c>
      <c r="C59" s="183">
        <v>0.32600000000000001</v>
      </c>
      <c r="E59" s="408" t="s">
        <v>1200</v>
      </c>
      <c r="F59" s="161" t="s">
        <v>1201</v>
      </c>
      <c r="J59" s="160" t="s">
        <v>1202</v>
      </c>
    </row>
    <row r="60" spans="1:10" ht="30">
      <c r="A60" s="161" t="s">
        <v>1203</v>
      </c>
      <c r="B60" s="162" t="s">
        <v>1195</v>
      </c>
      <c r="C60" s="197">
        <f>2228/0.46*$C$59/(200000*CONVERT(1,"ft^2","m^2"))*1000</f>
        <v>84.979668751608031</v>
      </c>
      <c r="E60" s="408"/>
      <c r="F60" s="161" t="s">
        <v>1201</v>
      </c>
      <c r="J60" s="160" t="s">
        <v>1202</v>
      </c>
    </row>
    <row r="61" spans="1:10" ht="30">
      <c r="A61" s="161" t="s">
        <v>1204</v>
      </c>
      <c r="B61" s="162" t="s">
        <v>167</v>
      </c>
      <c r="C61" s="184">
        <v>0.13</v>
      </c>
      <c r="E61" s="408"/>
      <c r="F61" s="161" t="s">
        <v>1201</v>
      </c>
      <c r="J61" s="160" t="s">
        <v>1202</v>
      </c>
    </row>
    <row r="62" spans="1:10" ht="30">
      <c r="A62" s="161" t="s">
        <v>1205</v>
      </c>
      <c r="B62" s="162" t="s">
        <v>1195</v>
      </c>
      <c r="C62" s="197">
        <f>2228/0.46*$C$61/(200000*CONVERT(1,"ft^2","m^2"))*1000</f>
        <v>33.887597968432651</v>
      </c>
      <c r="E62" s="408"/>
      <c r="F62" s="161" t="s">
        <v>1201</v>
      </c>
      <c r="J62" s="160" t="s">
        <v>1202</v>
      </c>
    </row>
    <row r="63" spans="1:10" ht="30">
      <c r="A63" s="161" t="s">
        <v>1206</v>
      </c>
      <c r="B63" s="162" t="s">
        <v>167</v>
      </c>
      <c r="C63" s="183">
        <v>5.0000000000000001E-3</v>
      </c>
      <c r="E63" s="408"/>
      <c r="F63" s="161" t="s">
        <v>1201</v>
      </c>
      <c r="J63" s="160" t="s">
        <v>1202</v>
      </c>
    </row>
    <row r="64" spans="1:10">
      <c r="A64" s="161" t="s">
        <v>1207</v>
      </c>
      <c r="B64" s="162" t="s">
        <v>1208</v>
      </c>
      <c r="C64" s="162">
        <v>0.40570000000000001</v>
      </c>
      <c r="E64" s="161" t="s">
        <v>1209</v>
      </c>
      <c r="J64" s="199" t="s">
        <v>1210</v>
      </c>
    </row>
    <row r="65" spans="1:10" ht="30">
      <c r="A65" s="161" t="s">
        <v>1211</v>
      </c>
      <c r="B65" s="162" t="s">
        <v>167</v>
      </c>
      <c r="C65" s="200">
        <v>0.13307952983719601</v>
      </c>
      <c r="J65" s="199" t="s">
        <v>1212</v>
      </c>
    </row>
    <row r="66" spans="1:10" ht="30">
      <c r="A66" s="201" t="s">
        <v>683</v>
      </c>
      <c r="B66" s="202" t="s">
        <v>1213</v>
      </c>
      <c r="C66" s="202">
        <f>1633.3/1000</f>
        <v>1.6333</v>
      </c>
      <c r="D66" s="160"/>
      <c r="E66" s="201" t="s">
        <v>685</v>
      </c>
      <c r="F66" s="201" t="s">
        <v>686</v>
      </c>
      <c r="G66" s="203"/>
      <c r="H66" s="204">
        <v>2022</v>
      </c>
    </row>
  </sheetData>
  <mergeCells count="1">
    <mergeCell ref="E59:E63"/>
  </mergeCells>
  <conditionalFormatting sqref="F9">
    <cfRule type="expression" dxfId="3" priority="1">
      <formula>#REF!=1</formula>
    </cfRule>
  </conditionalFormatting>
  <hyperlinks>
    <hyperlink ref="I3" r:id="rId1" xr:uid="{04A8D630-8CDE-504A-9CBF-2B926C3DD5B9}"/>
    <hyperlink ref="I13" r:id="rId2" xr:uid="{0AB1A431-A0F9-1840-9B39-504DA22C56AE}"/>
    <hyperlink ref="I33" r:id="rId3" xr:uid="{EEFDCDB2-A3B1-F746-BCFA-9B17BA534CD4}"/>
    <hyperlink ref="I34" r:id="rId4" xr:uid="{588DB451-B78F-114F-AC1C-E4B8CA4C4465}"/>
    <hyperlink ref="I35" r:id="rId5" xr:uid="{EFD0E61B-A2A9-D141-BFA9-9AE42C3A4BA5}"/>
    <hyperlink ref="I36" r:id="rId6" xr:uid="{DCF8B211-8CDF-B24B-AE76-1347C143AF5B}"/>
    <hyperlink ref="I9" r:id="rId7" xr:uid="{0E44E824-AC93-814A-AC31-4E60B5FABAFE}"/>
    <hyperlink ref="I6" r:id="rId8" xr:uid="{DAD1DBC4-B6B4-A34C-B336-CF9C71535333}"/>
    <hyperlink ref="I19" r:id="rId9" xr:uid="{C4F340E0-9206-7840-93D7-15FA310D15A0}"/>
    <hyperlink ref="I20" r:id="rId10" xr:uid="{10CAA580-7715-204A-B8D0-7DA1DFAAAC95}"/>
    <hyperlink ref="I50" r:id="rId11" xr:uid="{543783D7-7B95-574A-B643-D9737590B7CA}"/>
    <hyperlink ref="I51" r:id="rId12" xr:uid="{0145500F-BDF8-F84F-88C2-7A9544BBCC14}"/>
    <hyperlink ref="I52" r:id="rId13" xr:uid="{2F5A68A7-1BE2-7040-9811-60B1CB3B7698}"/>
    <hyperlink ref="I54" r:id="rId14" xr:uid="{B35F3FAD-E8B5-0348-9126-794BC1421B03}"/>
    <hyperlink ref="I56" r:id="rId15" xr:uid="{45AD040F-D4C7-A842-89A5-ED3BFF2286C7}"/>
    <hyperlink ref="I57" r:id="rId16" xr:uid="{21B6D2A3-0B59-BD40-85FD-D555D444C66D}"/>
    <hyperlink ref="I58" r:id="rId17" xr:uid="{35F7C7BB-8A76-8C4D-9001-E1A764037E1F}"/>
    <hyperlink ref="J64" r:id="rId18" xr:uid="{74EB2D4D-8DE0-C941-B2CD-27C81207B0CB}"/>
    <hyperlink ref="J65" r:id="rId19" xr:uid="{09C4BEA6-F52E-AB4B-8D30-824A63939263}"/>
    <hyperlink ref="I39" r:id="rId20" xr:uid="{C619F5F7-1E52-4042-B753-24847801797F}"/>
    <hyperlink ref="I40" r:id="rId21" xr:uid="{E53BE984-DB97-0346-850A-72099218A2E8}"/>
    <hyperlink ref="I43" r:id="rId22" location=":~:text=Singapore's%20total%20population%20stood%20at,in%20the%20non%2Dresident%20population" xr:uid="{9E226D04-CE7E-2449-B1F7-E35DA7757FC4}"/>
  </hyperlinks>
  <pageMargins left="0.7" right="0.7" top="0.75" bottom="0.75" header="0.3" footer="0.3"/>
  <pageSetup paperSize="9" orientation="portrait" r:id="rId2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87306-4510-824B-8D60-7902A1E6B907}">
  <sheetPr>
    <tabColor theme="8" tint="-0.249977111117893"/>
  </sheetPr>
  <dimension ref="A1:E106"/>
  <sheetViews>
    <sheetView workbookViewId="0"/>
  </sheetViews>
  <sheetFormatPr defaultColWidth="8.85546875" defaultRowHeight="15"/>
  <cols>
    <col min="3" max="3" width="31.7109375" customWidth="1"/>
    <col min="4" max="4" width="61.28515625" style="71" customWidth="1"/>
    <col min="5" max="5" width="76.42578125" customWidth="1"/>
  </cols>
  <sheetData>
    <row r="1" spans="1:5">
      <c r="A1" t="s">
        <v>1214</v>
      </c>
      <c r="B1" t="s">
        <v>442</v>
      </c>
      <c r="C1" t="s">
        <v>1215</v>
      </c>
      <c r="D1" s="71" t="s">
        <v>1216</v>
      </c>
      <c r="E1" t="s">
        <v>1217</v>
      </c>
    </row>
    <row r="2" spans="1:5" ht="30">
      <c r="A2">
        <v>1</v>
      </c>
      <c r="B2">
        <v>2021</v>
      </c>
      <c r="C2" t="s">
        <v>914</v>
      </c>
      <c r="D2" s="71" t="s">
        <v>1218</v>
      </c>
      <c r="E2" s="158" t="s">
        <v>1219</v>
      </c>
    </row>
    <row r="3" spans="1:5" ht="30">
      <c r="A3">
        <f t="shared" ref="A3:A66" si="0">A2+1</f>
        <v>2</v>
      </c>
      <c r="B3">
        <v>2014</v>
      </c>
      <c r="C3" t="s">
        <v>643</v>
      </c>
      <c r="D3" s="71" t="s">
        <v>1220</v>
      </c>
      <c r="E3" s="158" t="s">
        <v>1221</v>
      </c>
    </row>
    <row r="4" spans="1:5" ht="30">
      <c r="A4">
        <f t="shared" si="0"/>
        <v>3</v>
      </c>
      <c r="B4">
        <v>2021</v>
      </c>
      <c r="C4" t="s">
        <v>705</v>
      </c>
      <c r="D4" s="71" t="s">
        <v>1222</v>
      </c>
      <c r="E4" s="158" t="s">
        <v>1223</v>
      </c>
    </row>
    <row r="5" spans="1:5">
      <c r="A5">
        <f t="shared" si="0"/>
        <v>4</v>
      </c>
      <c r="B5">
        <v>2020</v>
      </c>
      <c r="C5" t="s">
        <v>1224</v>
      </c>
      <c r="D5" s="71" t="s">
        <v>1225</v>
      </c>
    </row>
    <row r="6" spans="1:5">
      <c r="A6">
        <f t="shared" si="0"/>
        <v>5</v>
      </c>
      <c r="B6">
        <v>2022</v>
      </c>
      <c r="C6" t="s">
        <v>232</v>
      </c>
      <c r="D6" s="71" t="s">
        <v>1226</v>
      </c>
      <c r="E6" s="158" t="s">
        <v>1227</v>
      </c>
    </row>
    <row r="7" spans="1:5">
      <c r="A7">
        <f t="shared" si="0"/>
        <v>6</v>
      </c>
      <c r="B7">
        <v>2018</v>
      </c>
      <c r="C7" t="s">
        <v>931</v>
      </c>
      <c r="D7" s="71" t="s">
        <v>1228</v>
      </c>
      <c r="E7" s="158" t="s">
        <v>1229</v>
      </c>
    </row>
    <row r="8" spans="1:5">
      <c r="A8">
        <f t="shared" si="0"/>
        <v>7</v>
      </c>
      <c r="B8">
        <v>2005</v>
      </c>
      <c r="C8" t="s">
        <v>879</v>
      </c>
      <c r="D8" s="71" t="s">
        <v>1230</v>
      </c>
      <c r="E8" s="158" t="s">
        <v>1231</v>
      </c>
    </row>
    <row r="9" spans="1:5" ht="30">
      <c r="A9">
        <f t="shared" si="0"/>
        <v>8</v>
      </c>
      <c r="B9">
        <v>2015</v>
      </c>
      <c r="C9" t="s">
        <v>682</v>
      </c>
      <c r="D9" s="71" t="s">
        <v>1232</v>
      </c>
      <c r="E9" s="158" t="s">
        <v>1233</v>
      </c>
    </row>
    <row r="10" spans="1:5">
      <c r="A10">
        <f t="shared" si="0"/>
        <v>9</v>
      </c>
      <c r="B10">
        <v>2019</v>
      </c>
      <c r="C10" t="s">
        <v>714</v>
      </c>
      <c r="D10" s="71" t="s">
        <v>1234</v>
      </c>
      <c r="E10" s="158" t="s">
        <v>1235</v>
      </c>
    </row>
    <row r="11" spans="1:5" ht="45">
      <c r="A11">
        <f t="shared" si="0"/>
        <v>10</v>
      </c>
      <c r="B11">
        <v>2007</v>
      </c>
      <c r="C11" t="s">
        <v>606</v>
      </c>
      <c r="D11" s="71" t="s">
        <v>1236</v>
      </c>
      <c r="E11" s="158" t="s">
        <v>1237</v>
      </c>
    </row>
    <row r="12" spans="1:5">
      <c r="A12">
        <f t="shared" si="0"/>
        <v>11</v>
      </c>
      <c r="B12">
        <v>2021</v>
      </c>
      <c r="C12" t="s">
        <v>1238</v>
      </c>
      <c r="D12" s="71" t="s">
        <v>1239</v>
      </c>
      <c r="E12" s="158" t="s">
        <v>1240</v>
      </c>
    </row>
    <row r="13" spans="1:5" ht="30">
      <c r="A13">
        <f t="shared" si="0"/>
        <v>12</v>
      </c>
      <c r="B13">
        <v>2019</v>
      </c>
      <c r="C13" t="s">
        <v>1241</v>
      </c>
      <c r="D13" s="71" t="s">
        <v>1242</v>
      </c>
      <c r="E13" s="158" t="s">
        <v>1243</v>
      </c>
    </row>
    <row r="14" spans="1:5" ht="30">
      <c r="A14">
        <f t="shared" si="0"/>
        <v>13</v>
      </c>
      <c r="B14">
        <v>2022</v>
      </c>
      <c r="C14" t="s">
        <v>887</v>
      </c>
      <c r="D14" s="71" t="s">
        <v>1244</v>
      </c>
      <c r="E14" s="158" t="s">
        <v>1245</v>
      </c>
    </row>
    <row r="15" spans="1:5">
      <c r="A15">
        <f t="shared" si="0"/>
        <v>14</v>
      </c>
      <c r="B15">
        <v>2017</v>
      </c>
      <c r="C15" t="s">
        <v>846</v>
      </c>
      <c r="D15" s="71" t="s">
        <v>1246</v>
      </c>
      <c r="E15" s="158" t="s">
        <v>1247</v>
      </c>
    </row>
    <row r="16" spans="1:5" ht="30">
      <c r="A16">
        <f t="shared" si="0"/>
        <v>15</v>
      </c>
      <c r="B16">
        <v>2017</v>
      </c>
      <c r="C16" t="s">
        <v>836</v>
      </c>
      <c r="D16" s="71" t="s">
        <v>1248</v>
      </c>
      <c r="E16" s="158" t="s">
        <v>1249</v>
      </c>
    </row>
    <row r="17" spans="1:5">
      <c r="A17">
        <f t="shared" si="0"/>
        <v>16</v>
      </c>
      <c r="B17">
        <v>2015</v>
      </c>
      <c r="C17" t="s">
        <v>668</v>
      </c>
      <c r="D17" s="71" t="s">
        <v>1250</v>
      </c>
      <c r="E17" t="s">
        <v>1251</v>
      </c>
    </row>
    <row r="18" spans="1:5" ht="30">
      <c r="A18">
        <f t="shared" si="0"/>
        <v>17</v>
      </c>
      <c r="B18">
        <v>2020</v>
      </c>
      <c r="C18" t="s">
        <v>798</v>
      </c>
      <c r="D18" s="71" t="s">
        <v>1252</v>
      </c>
      <c r="E18" s="158" t="s">
        <v>1253</v>
      </c>
    </row>
    <row r="19" spans="1:5" ht="30">
      <c r="A19">
        <f t="shared" si="0"/>
        <v>18</v>
      </c>
      <c r="B19">
        <v>2021</v>
      </c>
      <c r="C19" t="s">
        <v>783</v>
      </c>
      <c r="D19" s="71" t="s">
        <v>1254</v>
      </c>
      <c r="E19" s="158" t="s">
        <v>1255</v>
      </c>
    </row>
    <row r="20" spans="1:5">
      <c r="A20">
        <f t="shared" si="0"/>
        <v>19</v>
      </c>
      <c r="B20">
        <v>2021</v>
      </c>
      <c r="C20" t="s">
        <v>854</v>
      </c>
      <c r="D20" s="71" t="s">
        <v>1256</v>
      </c>
      <c r="E20" s="158" t="s">
        <v>1257</v>
      </c>
    </row>
    <row r="21" spans="1:5">
      <c r="A21">
        <f t="shared" si="0"/>
        <v>20</v>
      </c>
      <c r="B21">
        <v>2022</v>
      </c>
      <c r="C21" t="s">
        <v>568</v>
      </c>
      <c r="D21" s="71" t="s">
        <v>1258</v>
      </c>
      <c r="E21" s="158" t="s">
        <v>1259</v>
      </c>
    </row>
    <row r="22" spans="1:5">
      <c r="A22">
        <f t="shared" si="0"/>
        <v>21</v>
      </c>
      <c r="B22">
        <v>2014</v>
      </c>
      <c r="C22" t="s">
        <v>925</v>
      </c>
      <c r="D22" s="71" t="s">
        <v>1260</v>
      </c>
      <c r="E22" s="158" t="s">
        <v>1261</v>
      </c>
    </row>
    <row r="23" spans="1:5">
      <c r="A23">
        <f t="shared" si="0"/>
        <v>22</v>
      </c>
      <c r="B23">
        <v>2019</v>
      </c>
      <c r="C23" t="s">
        <v>653</v>
      </c>
      <c r="D23" s="71" t="s">
        <v>1262</v>
      </c>
      <c r="E23" s="158" t="s">
        <v>1263</v>
      </c>
    </row>
    <row r="24" spans="1:5">
      <c r="A24">
        <f t="shared" si="0"/>
        <v>23</v>
      </c>
      <c r="B24">
        <v>2019</v>
      </c>
      <c r="C24" t="s">
        <v>857</v>
      </c>
      <c r="D24" t="s">
        <v>1264</v>
      </c>
      <c r="E24" s="158" t="s">
        <v>1265</v>
      </c>
    </row>
    <row r="25" spans="1:5">
      <c r="A25">
        <f t="shared" si="0"/>
        <v>24</v>
      </c>
      <c r="B25">
        <v>2019</v>
      </c>
      <c r="C25" t="s">
        <v>1266</v>
      </c>
      <c r="D25" s="71" t="s">
        <v>1267</v>
      </c>
      <c r="E25" s="158" t="s">
        <v>1268</v>
      </c>
    </row>
    <row r="26" spans="1:5">
      <c r="A26">
        <f t="shared" si="0"/>
        <v>25</v>
      </c>
      <c r="B26">
        <v>2021</v>
      </c>
      <c r="C26" t="s">
        <v>726</v>
      </c>
      <c r="D26" s="71" t="s">
        <v>1269</v>
      </c>
      <c r="E26" s="158" t="s">
        <v>1270</v>
      </c>
    </row>
    <row r="27" spans="1:5" ht="30">
      <c r="A27">
        <f t="shared" si="0"/>
        <v>26</v>
      </c>
      <c r="B27">
        <v>2022</v>
      </c>
      <c r="C27" t="s">
        <v>867</v>
      </c>
      <c r="D27" s="71" t="s">
        <v>1271</v>
      </c>
      <c r="E27" s="158" t="s">
        <v>1272</v>
      </c>
    </row>
    <row r="28" spans="1:5">
      <c r="A28">
        <f t="shared" si="0"/>
        <v>27</v>
      </c>
      <c r="B28">
        <v>2022</v>
      </c>
      <c r="C28" t="s">
        <v>521</v>
      </c>
      <c r="E28" s="158" t="s">
        <v>1273</v>
      </c>
    </row>
    <row r="29" spans="1:5">
      <c r="A29">
        <f t="shared" si="0"/>
        <v>28</v>
      </c>
      <c r="B29">
        <v>2004</v>
      </c>
      <c r="C29" t="s">
        <v>719</v>
      </c>
      <c r="D29" s="71" t="s">
        <v>1274</v>
      </c>
      <c r="E29" s="158" t="s">
        <v>1275</v>
      </c>
    </row>
    <row r="30" spans="1:5" ht="30">
      <c r="A30">
        <f t="shared" si="0"/>
        <v>29</v>
      </c>
      <c r="B30">
        <v>2008</v>
      </c>
      <c r="C30" t="s">
        <v>144</v>
      </c>
      <c r="D30" s="71" t="s">
        <v>1276</v>
      </c>
      <c r="E30" s="158" t="s">
        <v>1277</v>
      </c>
    </row>
    <row r="31" spans="1:5">
      <c r="A31">
        <f t="shared" si="0"/>
        <v>30</v>
      </c>
      <c r="B31">
        <v>2020</v>
      </c>
      <c r="C31" t="s">
        <v>1278</v>
      </c>
      <c r="D31" s="71" t="s">
        <v>1279</v>
      </c>
      <c r="E31" s="158" t="s">
        <v>1280</v>
      </c>
    </row>
    <row r="32" spans="1:5" ht="30">
      <c r="A32">
        <f t="shared" si="0"/>
        <v>31</v>
      </c>
      <c r="B32">
        <v>2020</v>
      </c>
      <c r="C32" t="s">
        <v>733</v>
      </c>
      <c r="D32" s="71" t="s">
        <v>1281</v>
      </c>
      <c r="E32" s="158" t="s">
        <v>1282</v>
      </c>
    </row>
    <row r="33" spans="1:5">
      <c r="A33">
        <f t="shared" si="0"/>
        <v>32</v>
      </c>
      <c r="B33">
        <v>2020</v>
      </c>
      <c r="C33" t="s">
        <v>861</v>
      </c>
      <c r="D33" s="71" t="s">
        <v>1283</v>
      </c>
      <c r="E33" s="158" t="s">
        <v>1284</v>
      </c>
    </row>
    <row r="34" spans="1:5">
      <c r="A34">
        <f t="shared" si="0"/>
        <v>33</v>
      </c>
      <c r="B34">
        <v>2018</v>
      </c>
      <c r="C34" t="s">
        <v>743</v>
      </c>
      <c r="D34" s="71" t="s">
        <v>1285</v>
      </c>
      <c r="E34" s="158" t="s">
        <v>1286</v>
      </c>
    </row>
    <row r="35" spans="1:5">
      <c r="A35">
        <f t="shared" si="0"/>
        <v>34</v>
      </c>
      <c r="B35">
        <v>2022</v>
      </c>
      <c r="C35" t="s">
        <v>703</v>
      </c>
      <c r="D35" s="71" t="s">
        <v>1287</v>
      </c>
      <c r="E35" s="158" t="s">
        <v>1288</v>
      </c>
    </row>
    <row r="36" spans="1:5">
      <c r="A36">
        <f t="shared" si="0"/>
        <v>35</v>
      </c>
      <c r="B36">
        <v>2017</v>
      </c>
      <c r="C36" t="s">
        <v>648</v>
      </c>
      <c r="D36" s="71" t="s">
        <v>1289</v>
      </c>
      <c r="E36" s="158" t="s">
        <v>1290</v>
      </c>
    </row>
    <row r="37" spans="1:5">
      <c r="A37">
        <f t="shared" si="0"/>
        <v>36</v>
      </c>
      <c r="B37">
        <v>2013</v>
      </c>
      <c r="C37" t="s">
        <v>1291</v>
      </c>
      <c r="D37" s="71" t="s">
        <v>1292</v>
      </c>
      <c r="E37" s="158" t="s">
        <v>1293</v>
      </c>
    </row>
    <row r="38" spans="1:5">
      <c r="A38">
        <f t="shared" si="0"/>
        <v>37</v>
      </c>
      <c r="B38">
        <v>2019</v>
      </c>
      <c r="C38" t="s">
        <v>1294</v>
      </c>
      <c r="D38" s="71" t="s">
        <v>1295</v>
      </c>
      <c r="E38" s="158" t="s">
        <v>1296</v>
      </c>
    </row>
    <row r="39" spans="1:5" ht="30">
      <c r="A39">
        <f t="shared" si="0"/>
        <v>38</v>
      </c>
      <c r="B39">
        <v>2021</v>
      </c>
      <c r="C39" t="s">
        <v>670</v>
      </c>
      <c r="D39" s="71" t="s">
        <v>1297</v>
      </c>
      <c r="E39" s="158" t="s">
        <v>1298</v>
      </c>
    </row>
    <row r="40" spans="1:5" ht="30">
      <c r="A40">
        <f t="shared" si="0"/>
        <v>39</v>
      </c>
      <c r="B40">
        <v>2022</v>
      </c>
      <c r="C40" t="s">
        <v>755</v>
      </c>
      <c r="D40" s="71" t="s">
        <v>1299</v>
      </c>
      <c r="E40" s="158" t="s">
        <v>1300</v>
      </c>
    </row>
    <row r="41" spans="1:5" ht="45">
      <c r="A41">
        <f t="shared" si="0"/>
        <v>40</v>
      </c>
      <c r="B41">
        <v>2020</v>
      </c>
      <c r="C41" t="s">
        <v>910</v>
      </c>
      <c r="D41" s="71" t="s">
        <v>1301</v>
      </c>
      <c r="E41" s="158" t="s">
        <v>1302</v>
      </c>
    </row>
    <row r="42" spans="1:5">
      <c r="A42">
        <f t="shared" si="0"/>
        <v>41</v>
      </c>
      <c r="B42">
        <v>2006</v>
      </c>
      <c r="C42" t="s">
        <v>169</v>
      </c>
      <c r="D42" s="71" t="s">
        <v>1303</v>
      </c>
      <c r="E42" s="158" t="s">
        <v>1304</v>
      </c>
    </row>
    <row r="43" spans="1:5" ht="30">
      <c r="A43">
        <f t="shared" si="0"/>
        <v>42</v>
      </c>
      <c r="B43">
        <v>2020</v>
      </c>
      <c r="C43" t="s">
        <v>819</v>
      </c>
      <c r="D43" s="71" t="s">
        <v>1305</v>
      </c>
      <c r="E43" s="158" t="s">
        <v>1306</v>
      </c>
    </row>
    <row r="44" spans="1:5">
      <c r="A44">
        <f t="shared" si="0"/>
        <v>43</v>
      </c>
      <c r="B44">
        <v>2022</v>
      </c>
      <c r="C44" t="s">
        <v>509</v>
      </c>
      <c r="E44" s="158" t="s">
        <v>1307</v>
      </c>
    </row>
    <row r="45" spans="1:5" ht="30">
      <c r="A45">
        <f t="shared" si="0"/>
        <v>44</v>
      </c>
      <c r="B45">
        <v>2015</v>
      </c>
      <c r="C45" t="s">
        <v>140</v>
      </c>
      <c r="D45" s="71" t="s">
        <v>1308</v>
      </c>
      <c r="E45" s="158" t="s">
        <v>1309</v>
      </c>
    </row>
    <row r="46" spans="1:5">
      <c r="A46">
        <f t="shared" si="0"/>
        <v>45</v>
      </c>
      <c r="B46">
        <v>2005</v>
      </c>
      <c r="C46" t="s">
        <v>106</v>
      </c>
      <c r="D46" s="71" t="s">
        <v>1310</v>
      </c>
      <c r="E46" s="158" t="s">
        <v>1311</v>
      </c>
    </row>
    <row r="47" spans="1:5">
      <c r="A47">
        <f t="shared" si="0"/>
        <v>46</v>
      </c>
      <c r="B47">
        <v>2021</v>
      </c>
      <c r="C47" t="s">
        <v>633</v>
      </c>
      <c r="D47" s="71" t="s">
        <v>1312</v>
      </c>
      <c r="E47" s="158" t="s">
        <v>1313</v>
      </c>
    </row>
    <row r="48" spans="1:5">
      <c r="A48">
        <f t="shared" si="0"/>
        <v>47</v>
      </c>
      <c r="B48">
        <v>2021</v>
      </c>
      <c r="C48" t="s">
        <v>699</v>
      </c>
      <c r="D48" s="71" t="s">
        <v>1314</v>
      </c>
      <c r="E48" s="158" t="s">
        <v>1315</v>
      </c>
    </row>
    <row r="49" spans="1:5">
      <c r="A49">
        <f t="shared" si="0"/>
        <v>48</v>
      </c>
      <c r="B49">
        <v>2021</v>
      </c>
      <c r="C49" t="s">
        <v>723</v>
      </c>
      <c r="D49" s="71" t="s">
        <v>1316</v>
      </c>
      <c r="E49" s="158" t="s">
        <v>1317</v>
      </c>
    </row>
    <row r="50" spans="1:5">
      <c r="A50">
        <f t="shared" si="0"/>
        <v>49</v>
      </c>
      <c r="B50">
        <v>2022</v>
      </c>
      <c r="C50" t="s">
        <v>717</v>
      </c>
      <c r="D50" s="71" t="s">
        <v>1318</v>
      </c>
      <c r="E50" s="158" t="s">
        <v>1319</v>
      </c>
    </row>
    <row r="51" spans="1:5" ht="30">
      <c r="A51">
        <f t="shared" si="0"/>
        <v>50</v>
      </c>
      <c r="B51">
        <v>2020</v>
      </c>
      <c r="C51" t="s">
        <v>804</v>
      </c>
      <c r="D51" s="71" t="s">
        <v>1320</v>
      </c>
      <c r="E51" s="158" t="s">
        <v>1321</v>
      </c>
    </row>
    <row r="52" spans="1:5">
      <c r="A52">
        <f t="shared" si="0"/>
        <v>51</v>
      </c>
      <c r="B52">
        <v>2018</v>
      </c>
      <c r="C52" t="s">
        <v>235</v>
      </c>
      <c r="D52" s="71" t="s">
        <v>1322</v>
      </c>
      <c r="E52" t="s">
        <v>226</v>
      </c>
    </row>
    <row r="53" spans="1:5">
      <c r="A53">
        <f t="shared" si="0"/>
        <v>52</v>
      </c>
      <c r="B53">
        <v>2022</v>
      </c>
      <c r="C53" t="s">
        <v>597</v>
      </c>
      <c r="D53" s="71" t="s">
        <v>1323</v>
      </c>
      <c r="E53" s="158" t="s">
        <v>1324</v>
      </c>
    </row>
    <row r="54" spans="1:5">
      <c r="A54">
        <f t="shared" si="0"/>
        <v>53</v>
      </c>
      <c r="B54">
        <v>2018</v>
      </c>
      <c r="C54" t="s">
        <v>841</v>
      </c>
      <c r="D54" s="71" t="s">
        <v>1325</v>
      </c>
      <c r="E54" s="158" t="s">
        <v>1326</v>
      </c>
    </row>
    <row r="55" spans="1:5">
      <c r="A55">
        <f t="shared" si="0"/>
        <v>54</v>
      </c>
      <c r="B55">
        <v>2018</v>
      </c>
      <c r="C55" t="s">
        <v>1327</v>
      </c>
      <c r="D55" s="71" t="s">
        <v>1328</v>
      </c>
      <c r="E55" s="158" t="s">
        <v>1329</v>
      </c>
    </row>
    <row r="56" spans="1:5">
      <c r="A56">
        <f t="shared" si="0"/>
        <v>55</v>
      </c>
      <c r="B56">
        <v>2019</v>
      </c>
      <c r="C56" t="s">
        <v>870</v>
      </c>
      <c r="D56" s="71" t="s">
        <v>1330</v>
      </c>
      <c r="E56" s="158" t="s">
        <v>1331</v>
      </c>
    </row>
    <row r="57" spans="1:5">
      <c r="A57">
        <f t="shared" si="0"/>
        <v>56</v>
      </c>
      <c r="B57">
        <v>2022</v>
      </c>
      <c r="C57" t="s">
        <v>873</v>
      </c>
      <c r="D57" s="71" t="s">
        <v>1332</v>
      </c>
      <c r="E57" s="158" t="s">
        <v>1333</v>
      </c>
    </row>
    <row r="58" spans="1:5">
      <c r="A58">
        <f t="shared" si="0"/>
        <v>57</v>
      </c>
      <c r="B58">
        <v>2022</v>
      </c>
      <c r="C58" t="s">
        <v>1334</v>
      </c>
      <c r="D58" s="71" t="s">
        <v>1335</v>
      </c>
      <c r="E58" s="158" t="s">
        <v>1336</v>
      </c>
    </row>
    <row r="59" spans="1:5">
      <c r="A59">
        <f t="shared" si="0"/>
        <v>58</v>
      </c>
      <c r="B59">
        <v>2021</v>
      </c>
      <c r="C59" t="s">
        <v>1337</v>
      </c>
      <c r="D59" s="71" t="s">
        <v>1338</v>
      </c>
      <c r="E59" s="158" t="s">
        <v>1339</v>
      </c>
    </row>
    <row r="60" spans="1:5">
      <c r="A60">
        <f t="shared" si="0"/>
        <v>59</v>
      </c>
      <c r="B60" t="s">
        <v>662</v>
      </c>
      <c r="C60" t="s">
        <v>661</v>
      </c>
      <c r="D60" s="71" t="s">
        <v>1340</v>
      </c>
      <c r="E60" s="158" t="s">
        <v>1341</v>
      </c>
    </row>
    <row r="61" spans="1:5">
      <c r="A61">
        <f t="shared" si="0"/>
        <v>60</v>
      </c>
      <c r="B61">
        <v>2021</v>
      </c>
      <c r="C61" t="s">
        <v>541</v>
      </c>
      <c r="D61" s="71" t="s">
        <v>1342</v>
      </c>
      <c r="E61" s="158" t="s">
        <v>1343</v>
      </c>
    </row>
    <row r="62" spans="1:5">
      <c r="A62">
        <f t="shared" si="0"/>
        <v>61</v>
      </c>
      <c r="B62">
        <v>2012</v>
      </c>
      <c r="C62" t="s">
        <v>532</v>
      </c>
      <c r="E62" s="158" t="s">
        <v>1344</v>
      </c>
    </row>
    <row r="63" spans="1:5">
      <c r="A63">
        <f t="shared" si="0"/>
        <v>62</v>
      </c>
      <c r="B63">
        <v>2016</v>
      </c>
      <c r="C63" t="s">
        <v>729</v>
      </c>
      <c r="D63" s="71" t="s">
        <v>1345</v>
      </c>
      <c r="E63" s="158" t="s">
        <v>1346</v>
      </c>
    </row>
    <row r="64" spans="1:5" ht="30">
      <c r="A64">
        <f t="shared" si="0"/>
        <v>63</v>
      </c>
      <c r="B64">
        <v>2019</v>
      </c>
      <c r="C64" t="s">
        <v>1347</v>
      </c>
      <c r="D64" s="71" t="s">
        <v>1348</v>
      </c>
      <c r="E64" s="158" t="s">
        <v>1349</v>
      </c>
    </row>
    <row r="65" spans="1:5" ht="30">
      <c r="A65">
        <f t="shared" si="0"/>
        <v>64</v>
      </c>
      <c r="B65">
        <v>2021</v>
      </c>
      <c r="C65" t="s">
        <v>535</v>
      </c>
      <c r="D65" s="71" t="s">
        <v>1350</v>
      </c>
      <c r="E65" s="158" t="s">
        <v>1351</v>
      </c>
    </row>
    <row r="66" spans="1:5" ht="30">
      <c r="A66">
        <f t="shared" si="0"/>
        <v>65</v>
      </c>
      <c r="B66">
        <v>2020</v>
      </c>
      <c r="C66" t="s">
        <v>1352</v>
      </c>
      <c r="D66" s="71" t="s">
        <v>1353</v>
      </c>
      <c r="E66" s="158" t="s">
        <v>1354</v>
      </c>
    </row>
    <row r="67" spans="1:5" ht="30">
      <c r="A67">
        <f t="shared" ref="A67:A106" si="1">A66+1</f>
        <v>66</v>
      </c>
      <c r="B67">
        <v>2019</v>
      </c>
      <c r="C67" t="s">
        <v>761</v>
      </c>
      <c r="D67" s="71" t="s">
        <v>1355</v>
      </c>
      <c r="E67" s="158" t="s">
        <v>1356</v>
      </c>
    </row>
    <row r="68" spans="1:5">
      <c r="A68">
        <f t="shared" si="1"/>
        <v>67</v>
      </c>
      <c r="B68">
        <v>2022</v>
      </c>
      <c r="C68" t="s">
        <v>579</v>
      </c>
      <c r="D68" s="71" t="s">
        <v>1357</v>
      </c>
      <c r="E68" s="158" t="s">
        <v>1358</v>
      </c>
    </row>
    <row r="69" spans="1:5" ht="30">
      <c r="A69">
        <f t="shared" si="1"/>
        <v>68</v>
      </c>
      <c r="B69">
        <v>2018</v>
      </c>
      <c r="C69" t="s">
        <v>610</v>
      </c>
      <c r="D69" s="71" t="s">
        <v>1359</v>
      </c>
      <c r="E69" s="158" t="s">
        <v>1360</v>
      </c>
    </row>
    <row r="70" spans="1:5">
      <c r="A70">
        <f t="shared" si="1"/>
        <v>69</v>
      </c>
      <c r="B70">
        <v>2022</v>
      </c>
      <c r="C70" t="s">
        <v>593</v>
      </c>
      <c r="D70" s="71" t="s">
        <v>1361</v>
      </c>
      <c r="E70" s="158" t="s">
        <v>1362</v>
      </c>
    </row>
    <row r="71" spans="1:5">
      <c r="A71">
        <f t="shared" si="1"/>
        <v>70</v>
      </c>
      <c r="B71">
        <v>2022</v>
      </c>
      <c r="C71" t="s">
        <v>764</v>
      </c>
      <c r="D71" s="71" t="s">
        <v>1363</v>
      </c>
      <c r="E71" s="158" t="s">
        <v>1364</v>
      </c>
    </row>
    <row r="72" spans="1:5">
      <c r="A72">
        <f t="shared" si="1"/>
        <v>71</v>
      </c>
      <c r="B72">
        <v>2021</v>
      </c>
      <c r="C72" t="s">
        <v>864</v>
      </c>
      <c r="D72" s="71" t="s">
        <v>1365</v>
      </c>
      <c r="E72" s="158" t="s">
        <v>1366</v>
      </c>
    </row>
    <row r="73" spans="1:5">
      <c r="A73">
        <f t="shared" si="1"/>
        <v>72</v>
      </c>
      <c r="B73">
        <v>2021</v>
      </c>
      <c r="C73" t="s">
        <v>1367</v>
      </c>
      <c r="D73" s="71" t="s">
        <v>1368</v>
      </c>
      <c r="E73" s="158" t="s">
        <v>1369</v>
      </c>
    </row>
    <row r="74" spans="1:5" ht="30">
      <c r="A74">
        <f t="shared" si="1"/>
        <v>73</v>
      </c>
      <c r="B74">
        <v>2018</v>
      </c>
      <c r="C74" t="s">
        <v>903</v>
      </c>
      <c r="D74" s="71" t="s">
        <v>1370</v>
      </c>
      <c r="E74" s="158" t="s">
        <v>1371</v>
      </c>
    </row>
    <row r="75" spans="1:5">
      <c r="A75">
        <f t="shared" si="1"/>
        <v>74</v>
      </c>
      <c r="B75">
        <v>2022</v>
      </c>
      <c r="C75" t="s">
        <v>689</v>
      </c>
      <c r="D75" s="71" t="s">
        <v>1372</v>
      </c>
      <c r="E75" s="158" t="s">
        <v>1373</v>
      </c>
    </row>
    <row r="76" spans="1:5" ht="30">
      <c r="A76">
        <f t="shared" si="1"/>
        <v>75</v>
      </c>
      <c r="B76">
        <v>2022</v>
      </c>
      <c r="C76" t="s">
        <v>824</v>
      </c>
      <c r="D76" s="71" t="s">
        <v>1374</v>
      </c>
      <c r="E76" s="158" t="s">
        <v>1375</v>
      </c>
    </row>
    <row r="77" spans="1:5">
      <c r="A77">
        <f t="shared" si="1"/>
        <v>76</v>
      </c>
      <c r="B77">
        <v>2019</v>
      </c>
      <c r="C77" t="s">
        <v>736</v>
      </c>
      <c r="D77" s="71" t="s">
        <v>1376</v>
      </c>
      <c r="E77" s="158" t="s">
        <v>1377</v>
      </c>
    </row>
    <row r="78" spans="1:5">
      <c r="A78">
        <f t="shared" si="1"/>
        <v>77</v>
      </c>
      <c r="B78">
        <v>2021</v>
      </c>
      <c r="C78" t="s">
        <v>561</v>
      </c>
      <c r="D78" s="71" t="s">
        <v>1378</v>
      </c>
      <c r="E78" s="158" t="s">
        <v>1379</v>
      </c>
    </row>
    <row r="79" spans="1:5">
      <c r="A79">
        <f t="shared" si="1"/>
        <v>78</v>
      </c>
      <c r="B79">
        <v>2021</v>
      </c>
      <c r="C79" t="s">
        <v>559</v>
      </c>
      <c r="D79" s="71" t="s">
        <v>1380</v>
      </c>
      <c r="E79" s="158" t="s">
        <v>1381</v>
      </c>
    </row>
    <row r="80" spans="1:5">
      <c r="A80">
        <f t="shared" si="1"/>
        <v>79</v>
      </c>
      <c r="B80">
        <v>2022</v>
      </c>
      <c r="C80" t="s">
        <v>1172</v>
      </c>
      <c r="E80" s="158" t="s">
        <v>60</v>
      </c>
    </row>
    <row r="81" spans="1:5">
      <c r="A81">
        <f t="shared" si="1"/>
        <v>80</v>
      </c>
      <c r="B81">
        <v>2022</v>
      </c>
      <c r="C81" t="s">
        <v>530</v>
      </c>
      <c r="D81" s="71" t="s">
        <v>1382</v>
      </c>
      <c r="E81" s="158" t="s">
        <v>1383</v>
      </c>
    </row>
    <row r="82" spans="1:5">
      <c r="A82">
        <f t="shared" si="1"/>
        <v>81</v>
      </c>
      <c r="B82">
        <v>2022</v>
      </c>
      <c r="C82" t="s">
        <v>627</v>
      </c>
      <c r="D82" s="71" t="s">
        <v>1384</v>
      </c>
      <c r="E82" s="158" t="s">
        <v>1385</v>
      </c>
    </row>
    <row r="83" spans="1:5">
      <c r="A83">
        <f t="shared" si="1"/>
        <v>82</v>
      </c>
      <c r="B83">
        <v>2020</v>
      </c>
      <c r="C83" t="s">
        <v>809</v>
      </c>
      <c r="D83" s="71" t="s">
        <v>1386</v>
      </c>
      <c r="E83" s="158" t="s">
        <v>1387</v>
      </c>
    </row>
    <row r="84" spans="1:5">
      <c r="A84">
        <f t="shared" si="1"/>
        <v>83</v>
      </c>
      <c r="B84">
        <v>2021</v>
      </c>
      <c r="C84" t="s">
        <v>790</v>
      </c>
      <c r="D84" s="71" t="s">
        <v>1388</v>
      </c>
      <c r="E84" s="158" t="s">
        <v>1389</v>
      </c>
    </row>
    <row r="85" spans="1:5" ht="30">
      <c r="A85">
        <f t="shared" si="1"/>
        <v>84</v>
      </c>
      <c r="B85">
        <v>2022</v>
      </c>
      <c r="C85" t="s">
        <v>776</v>
      </c>
      <c r="D85" s="71" t="s">
        <v>1390</v>
      </c>
      <c r="E85" s="158" t="s">
        <v>1391</v>
      </c>
    </row>
    <row r="86" spans="1:5">
      <c r="A86">
        <f t="shared" si="1"/>
        <v>85</v>
      </c>
      <c r="B86">
        <v>2022</v>
      </c>
      <c r="C86" t="s">
        <v>778</v>
      </c>
      <c r="D86" s="71" t="s">
        <v>1392</v>
      </c>
      <c r="E86" s="158" t="s">
        <v>1393</v>
      </c>
    </row>
    <row r="87" spans="1:5">
      <c r="A87">
        <f t="shared" si="1"/>
        <v>86</v>
      </c>
      <c r="B87">
        <v>2017</v>
      </c>
      <c r="C87" t="s">
        <v>694</v>
      </c>
      <c r="D87" s="71" t="s">
        <v>1394</v>
      </c>
      <c r="E87" s="158" t="s">
        <v>1395</v>
      </c>
    </row>
    <row r="88" spans="1:5">
      <c r="A88">
        <f t="shared" si="1"/>
        <v>87</v>
      </c>
      <c r="B88">
        <v>2022</v>
      </c>
      <c r="C88" t="s">
        <v>584</v>
      </c>
      <c r="D88" s="71" t="s">
        <v>1396</v>
      </c>
      <c r="E88" s="158" t="s">
        <v>1397</v>
      </c>
    </row>
    <row r="89" spans="1:5">
      <c r="A89">
        <f t="shared" si="1"/>
        <v>88</v>
      </c>
      <c r="B89">
        <v>1986</v>
      </c>
      <c r="C89" t="s">
        <v>751</v>
      </c>
      <c r="D89" s="71" t="s">
        <v>1398</v>
      </c>
      <c r="E89" s="158" t="s">
        <v>1399</v>
      </c>
    </row>
    <row r="90" spans="1:5" ht="30">
      <c r="A90">
        <f t="shared" si="1"/>
        <v>89</v>
      </c>
      <c r="B90">
        <v>2019</v>
      </c>
      <c r="C90" t="s">
        <v>656</v>
      </c>
      <c r="D90" s="71" t="s">
        <v>1400</v>
      </c>
      <c r="E90" s="158" t="s">
        <v>1401</v>
      </c>
    </row>
    <row r="91" spans="1:5" ht="30">
      <c r="A91">
        <f t="shared" si="1"/>
        <v>90</v>
      </c>
      <c r="B91">
        <v>2022</v>
      </c>
      <c r="C91" t="s">
        <v>739</v>
      </c>
      <c r="D91" s="71" t="s">
        <v>1402</v>
      </c>
      <c r="E91" s="158" t="s">
        <v>1403</v>
      </c>
    </row>
    <row r="92" spans="1:5">
      <c r="A92">
        <f t="shared" si="1"/>
        <v>91</v>
      </c>
      <c r="B92">
        <v>2012</v>
      </c>
      <c r="C92" t="s">
        <v>851</v>
      </c>
      <c r="D92" s="71" t="s">
        <v>1404</v>
      </c>
      <c r="E92" s="158" t="s">
        <v>1405</v>
      </c>
    </row>
    <row r="93" spans="1:5" ht="45">
      <c r="A93">
        <f t="shared" si="1"/>
        <v>92</v>
      </c>
      <c r="B93">
        <v>2021</v>
      </c>
      <c r="C93" t="s">
        <v>1406</v>
      </c>
      <c r="D93" s="71" t="s">
        <v>1407</v>
      </c>
      <c r="E93" s="158" t="s">
        <v>1408</v>
      </c>
    </row>
    <row r="94" spans="1:5">
      <c r="A94">
        <f t="shared" si="1"/>
        <v>93</v>
      </c>
      <c r="B94">
        <v>2022</v>
      </c>
      <c r="C94" t="s">
        <v>686</v>
      </c>
      <c r="D94" s="71" t="s">
        <v>1409</v>
      </c>
      <c r="E94" s="158" t="s">
        <v>1410</v>
      </c>
    </row>
    <row r="95" spans="1:5" ht="30">
      <c r="A95">
        <f t="shared" si="1"/>
        <v>94</v>
      </c>
      <c r="B95">
        <v>2008</v>
      </c>
      <c r="C95" t="s">
        <v>538</v>
      </c>
      <c r="D95" s="71" t="s">
        <v>1411</v>
      </c>
      <c r="E95" s="158" t="s">
        <v>1412</v>
      </c>
    </row>
    <row r="96" spans="1:5">
      <c r="A96">
        <f t="shared" si="1"/>
        <v>95</v>
      </c>
      <c r="B96">
        <v>2014</v>
      </c>
      <c r="C96" t="s">
        <v>148</v>
      </c>
      <c r="D96" s="71" t="s">
        <v>1413</v>
      </c>
      <c r="E96" s="158" t="s">
        <v>1414</v>
      </c>
    </row>
    <row r="97" spans="1:5">
      <c r="A97">
        <f t="shared" si="1"/>
        <v>96</v>
      </c>
      <c r="B97">
        <v>2020</v>
      </c>
      <c r="C97" t="s">
        <v>1415</v>
      </c>
      <c r="D97" s="71" t="s">
        <v>1416</v>
      </c>
      <c r="E97" s="158" t="s">
        <v>1417</v>
      </c>
    </row>
    <row r="98" spans="1:5">
      <c r="A98">
        <f t="shared" si="1"/>
        <v>97</v>
      </c>
      <c r="B98">
        <v>2022</v>
      </c>
      <c r="C98" t="s">
        <v>56</v>
      </c>
      <c r="D98" s="71" t="s">
        <v>1418</v>
      </c>
      <c r="E98" s="158" t="s">
        <v>1419</v>
      </c>
    </row>
    <row r="99" spans="1:5">
      <c r="A99">
        <f t="shared" si="1"/>
        <v>98</v>
      </c>
      <c r="B99">
        <v>2022</v>
      </c>
      <c r="C99" t="s">
        <v>544</v>
      </c>
      <c r="D99" s="71" t="s">
        <v>1420</v>
      </c>
      <c r="E99" s="158" t="s">
        <v>1421</v>
      </c>
    </row>
    <row r="100" spans="1:5">
      <c r="A100">
        <f t="shared" si="1"/>
        <v>99</v>
      </c>
      <c r="B100">
        <v>2022</v>
      </c>
      <c r="C100" t="s">
        <v>512</v>
      </c>
      <c r="E100" s="158" t="s">
        <v>1422</v>
      </c>
    </row>
    <row r="101" spans="1:5">
      <c r="A101">
        <f t="shared" si="1"/>
        <v>100</v>
      </c>
      <c r="B101">
        <v>2022</v>
      </c>
      <c r="C101" t="s">
        <v>515</v>
      </c>
      <c r="E101" s="158" t="s">
        <v>1423</v>
      </c>
    </row>
    <row r="102" spans="1:5">
      <c r="A102">
        <f t="shared" si="1"/>
        <v>101</v>
      </c>
      <c r="B102">
        <v>2022</v>
      </c>
      <c r="C102" t="s">
        <v>518</v>
      </c>
      <c r="E102" s="158" t="s">
        <v>1424</v>
      </c>
    </row>
    <row r="103" spans="1:5">
      <c r="A103">
        <f t="shared" si="1"/>
        <v>102</v>
      </c>
      <c r="B103">
        <v>2011</v>
      </c>
      <c r="C103" t="s">
        <v>665</v>
      </c>
      <c r="D103" s="71" t="s">
        <v>1425</v>
      </c>
      <c r="E103" s="158" t="s">
        <v>1426</v>
      </c>
    </row>
    <row r="104" spans="1:5" ht="30">
      <c r="A104">
        <f t="shared" si="1"/>
        <v>103</v>
      </c>
      <c r="B104">
        <v>2003</v>
      </c>
      <c r="C104" t="s">
        <v>637</v>
      </c>
      <c r="D104" s="71" t="s">
        <v>1427</v>
      </c>
      <c r="E104" s="158" t="s">
        <v>1428</v>
      </c>
    </row>
    <row r="105" spans="1:5" ht="30">
      <c r="A105">
        <f t="shared" si="1"/>
        <v>104</v>
      </c>
      <c r="B105">
        <v>2011</v>
      </c>
      <c r="C105" t="s">
        <v>1429</v>
      </c>
      <c r="D105" s="71" t="s">
        <v>1430</v>
      </c>
      <c r="E105" s="158" t="s">
        <v>1431</v>
      </c>
    </row>
    <row r="106" spans="1:5" ht="30">
      <c r="A106">
        <f t="shared" si="1"/>
        <v>105</v>
      </c>
      <c r="B106">
        <v>2015</v>
      </c>
      <c r="C106" t="s">
        <v>617</v>
      </c>
      <c r="D106" s="71" t="s">
        <v>1432</v>
      </c>
      <c r="E106" s="158" t="s">
        <v>1433</v>
      </c>
    </row>
  </sheetData>
  <hyperlinks>
    <hyperlink ref="E98" r:id="rId1" xr:uid="{67C67686-6D43-8042-BDE2-90CE43876102}"/>
    <hyperlink ref="E44" r:id="rId2" xr:uid="{F4D34A47-23F4-4247-B967-731F8F2E8A14}"/>
    <hyperlink ref="E62" r:id="rId3" xr:uid="{032932D3-9939-444E-ADEA-24B425A4AEE0}"/>
    <hyperlink ref="E95" r:id="rId4" xr:uid="{F3339487-E346-4D42-8DDE-F63EC0625D39}"/>
    <hyperlink ref="E38" r:id="rId5" xr:uid="{CE4565D3-2192-0A45-BFA2-06EF6A358D23}"/>
    <hyperlink ref="E61" r:id="rId6" xr:uid="{86C0B130-CF15-8E4D-A7E3-7822BCF75A43}"/>
    <hyperlink ref="E99" r:id="rId7" xr:uid="{11F6B690-2F4C-1E47-B845-ACEF0D3D54AC}"/>
    <hyperlink ref="E78" r:id="rId8" xr:uid="{E5B629DD-9330-B045-9428-BD9153496B7A}"/>
    <hyperlink ref="E81" r:id="rId9" xr:uid="{90E7FDB2-79E8-6045-A72A-D2FD5D876775}"/>
    <hyperlink ref="E79" r:id="rId10" xr:uid="{FA71A43F-452C-2048-80A3-E79770EB6B5F}"/>
    <hyperlink ref="E68" r:id="rId11" xr:uid="{C7B29888-9970-7A41-88CE-CDF99D23EA05}"/>
    <hyperlink ref="E88" r:id="rId12" xr:uid="{9E14AA32-93BC-D241-A530-9794FA24C0EF}"/>
    <hyperlink ref="E8" r:id="rId13" xr:uid="{EE81047A-7EE7-F347-8A34-F24F9C458277}"/>
    <hyperlink ref="E55" r:id="rId14" xr:uid="{041169EE-4A7F-CA42-B0A5-D3F69CCD5AC6}"/>
    <hyperlink ref="E89" r:id="rId15" xr:uid="{F7A84394-B603-9644-9234-CD5995645BF8}"/>
    <hyperlink ref="E14" r:id="rId16" xr:uid="{0C944CF5-4406-0E4A-9E0D-1DF916DBEB77}"/>
    <hyperlink ref="E70" r:id="rId17" xr:uid="{ABCFB927-A9D2-624C-91F1-9C5A612A0C8F}"/>
    <hyperlink ref="E31" r:id="rId18" xr:uid="{196CEE78-2245-9941-AE55-5CB75A343822}"/>
    <hyperlink ref="E106" r:id="rId19" xr:uid="{0E264996-C695-784F-B09C-2C48580DF350}"/>
    <hyperlink ref="E46" r:id="rId20" xr:uid="{3928D5E7-1AA8-6942-A88C-D8B3772E51AB}"/>
    <hyperlink ref="E45" r:id="rId21" xr:uid="{264DFDA0-9AFE-A444-8188-C641EF7E7772}"/>
    <hyperlink ref="E30" r:id="rId22" xr:uid="{9BFCE3E0-52FA-8048-BEA2-3D37C9D2776D}"/>
    <hyperlink ref="E82" r:id="rId23" xr:uid="{43E4F2E2-0C01-8F40-B832-9A606DFA8967}"/>
    <hyperlink ref="E47" r:id="rId24" xr:uid="{15EFC42D-960F-AA48-8E80-0318FA9FA37C}"/>
    <hyperlink ref="E74" r:id="rId25" xr:uid="{79CC832B-6C70-6343-B41F-18E6815E26B5}"/>
    <hyperlink ref="E3" r:id="rId26" xr:uid="{D1DCE6CA-CA97-9F4A-B762-106826BD8A87}"/>
    <hyperlink ref="E36" r:id="rId27" xr:uid="{BF81FE88-76CD-634A-9DC9-C0ADE6B44E1E}"/>
    <hyperlink ref="E12" r:id="rId28" xr:uid="{2A304728-4DD5-5148-BE00-292F70FB8AD0}"/>
    <hyperlink ref="E66" r:id="rId29" xr:uid="{9BE74F08-653E-4B42-9375-BA1C0368996C}"/>
    <hyperlink ref="E90" r:id="rId30" xr:uid="{5A849D46-45CD-8E48-9ADE-AAA2B0E08BD2}"/>
    <hyperlink ref="E60" r:id="rId31" xr:uid="{18FC41EB-4D02-8342-A0AD-CAE181BBEC83}"/>
    <hyperlink ref="E103" r:id="rId32" xr:uid="{81048415-5169-6047-838B-A2E6EF49B518}"/>
    <hyperlink ref="E39" r:id="rId33" xr:uid="{89649768-C77C-9345-92CF-093821E92E34}"/>
    <hyperlink ref="E9" r:id="rId34" xr:uid="{9F3FF810-9C22-AD4D-A976-F6B965BA2DC4}"/>
    <hyperlink ref="E87" r:id="rId35" xr:uid="{82A58F49-5A24-1D4A-988B-E2BCFF5CDB1B}"/>
    <hyperlink ref="E41" r:id="rId36" xr:uid="{400055A6-27CD-9E4D-8015-08176942F32B}"/>
    <hyperlink ref="E35" r:id="rId37" xr:uid="{073E6C28-8BBF-1141-B5FE-5C18B8E65F87}"/>
    <hyperlink ref="E4" r:id="rId38" xr:uid="{0C76F832-9DA5-B74C-A47A-B8AC30B8D683}"/>
    <hyperlink ref="E2" r:id="rId39" xr:uid="{B2C865A2-74CA-8745-BD0B-4881C0737731}"/>
    <hyperlink ref="E48" r:id="rId40" xr:uid="{3953D2CE-CF95-9C44-8435-31C6A1464C9A}"/>
    <hyperlink ref="E29" r:id="rId41" xr:uid="{F39F78FD-0617-A74A-884A-9446B54EA85D}"/>
    <hyperlink ref="E49" r:id="rId42" xr:uid="{BD585CA5-1365-CF48-9CD3-8EE9B83041C3}"/>
    <hyperlink ref="E26" r:id="rId43" xr:uid="{F113EDF2-924A-AA47-9C71-06FE3309C3AE}"/>
    <hyperlink ref="E63" r:id="rId44" xr:uid="{E21E2825-3CC4-E84E-B744-1BE354062DDB}"/>
    <hyperlink ref="E32" r:id="rId45" xr:uid="{B5D8AB81-5B14-9B42-9B01-5625C2A0567E}"/>
    <hyperlink ref="E34" r:id="rId46" xr:uid="{9A7FE266-3DB5-084C-B59F-2344F13D5E4F}"/>
    <hyperlink ref="E13" r:id="rId47" xr:uid="{E71F12FE-2FD7-AF4E-9FD6-AB7DD2C42BC1}"/>
    <hyperlink ref="E97" r:id="rId48" xr:uid="{EC7AA042-290A-B443-9B48-F2C4B6E30F7B}"/>
    <hyperlink ref="E93" r:id="rId49" xr:uid="{2780682D-14F1-7442-BEB6-24807D4167C4}"/>
    <hyperlink ref="E25" r:id="rId50" xr:uid="{03DF2C28-79EB-E34E-AF9E-19710B4CB831}"/>
    <hyperlink ref="E22" r:id="rId51" xr:uid="{1F0E7549-5004-4B4A-AC4D-5072981075EB}"/>
    <hyperlink ref="E7" r:id="rId52" xr:uid="{35605D44-EDBF-8541-94A1-971E189152D5}"/>
    <hyperlink ref="E64" r:id="rId53" xr:uid="{89882A02-E858-ED4E-B30B-FF311E4C6908}"/>
    <hyperlink ref="E67" r:id="rId54" xr:uid="{666BFB5D-A5AF-BF48-946B-9CD02C21860B}"/>
    <hyperlink ref="E71" r:id="rId55" xr:uid="{D597182D-CB99-2C43-8559-2C9AFB27A111}"/>
    <hyperlink ref="E85" r:id="rId56" xr:uid="{9C17F3E4-5059-2143-A403-33E6D5E29DFB}"/>
    <hyperlink ref="E86" r:id="rId57" xr:uid="{9FA41393-0ADE-0242-99D2-708648CE313F}"/>
    <hyperlink ref="E19" r:id="rId58" xr:uid="{DFBE0C99-063F-294F-BCB5-D9838B020B29}"/>
    <hyperlink ref="E84" r:id="rId59" xr:uid="{94EEDB4A-D9B0-E844-8938-2A9D4E55D3A5}"/>
    <hyperlink ref="E18" r:id="rId60" xr:uid="{491F10DB-73FF-1B45-9BC4-0E7B351CF8C6}"/>
    <hyperlink ref="E51" r:id="rId61" xr:uid="{2E87CFAD-E03F-9C42-83D2-5FDBC9CAB841}"/>
    <hyperlink ref="E83" r:id="rId62" xr:uid="{7B7584FD-3D41-544C-B739-C12A5B668DE8}"/>
    <hyperlink ref="E43" r:id="rId63" xr:uid="{6DAD716E-C394-A74B-83DA-4CAA5BA1163B}"/>
    <hyperlink ref="E16" r:id="rId64" xr:uid="{1EF49C11-383D-214F-BACB-6F114F9913E1}"/>
    <hyperlink ref="E54" r:id="rId65" xr:uid="{2EC14B52-3C21-D048-A9B6-FE6FF1CFC69E}"/>
    <hyperlink ref="E15" r:id="rId66" xr:uid="{5C776C64-9867-A24D-AC15-2FDC3FBF1F58}"/>
    <hyperlink ref="E92" r:id="rId67" xr:uid="{5628F2E3-32B6-6145-8008-BC4A2CB08381}"/>
    <hyperlink ref="E20" r:id="rId68" xr:uid="{A2FAE674-579B-954E-B40F-EF6F985D0FC2}"/>
    <hyperlink ref="E58" r:id="rId69" xr:uid="{DDA01B2D-5FC3-A24B-A270-A2A77FCDB678}"/>
    <hyperlink ref="E24" r:id="rId70" xr:uid="{72FDB966-4076-CC4F-BBA6-FC0D8A9A7AE6}"/>
    <hyperlink ref="E33" r:id="rId71" xr:uid="{27E2B78C-1071-7F4D-82D4-95397FFE0B42}"/>
    <hyperlink ref="E72" r:id="rId72" xr:uid="{6C4B0B74-842C-6943-B592-D1DA3AE3639B}"/>
    <hyperlink ref="E27" r:id="rId73" xr:uid="{E553E7AD-8829-6E4A-9EDA-9B8D1FD6ADE2}"/>
    <hyperlink ref="E56" r:id="rId74" xr:uid="{D9ACA652-C190-194D-A4C0-89412456DB50}"/>
    <hyperlink ref="E57" r:id="rId75" xr:uid="{99927F70-58A6-7440-A44F-87A4F0163EBF}"/>
    <hyperlink ref="E6" r:id="rId76" xr:uid="{39AD29D0-5157-9C4F-9BE9-1D251991E424}"/>
    <hyperlink ref="E59" r:id="rId77" xr:uid="{281DA45D-9D97-0441-9A51-62F9A1A65BE6}"/>
    <hyperlink ref="E94" r:id="rId78" location="data/PP" xr:uid="{09329214-10F5-CC4C-AEB7-B3D97892A511}"/>
    <hyperlink ref="E10" r:id="rId79" xr:uid="{FAA56284-7608-B44C-9E51-082D50BF3494}"/>
    <hyperlink ref="E11" r:id="rId80" xr:uid="{5AEB39ED-0A4F-9242-A754-8011650B018D}"/>
    <hyperlink ref="E21" r:id="rId81" xr:uid="{A87C8166-2385-9146-832D-ED53DDB168A4}"/>
    <hyperlink ref="E23" r:id="rId82" xr:uid="{39D00A5B-807C-C241-9867-9CD64B03FD06}"/>
    <hyperlink ref="E28" r:id="rId83" xr:uid="{FC3BB3E8-F526-0246-86A0-EB87C4530E09}"/>
    <hyperlink ref="E40" r:id="rId84" xr:uid="{6F35A01D-37D4-5141-A2B4-8F4477971761}"/>
    <hyperlink ref="E42" r:id="rId85" xr:uid="{F217E38B-01F5-3641-AF22-1415A2AC647F}"/>
    <hyperlink ref="E50" r:id="rId86" xr:uid="{FBF5EEA1-8887-2444-93D3-2519A412BCC9}"/>
    <hyperlink ref="E53" r:id="rId87" xr:uid="{B1A80D67-740E-4547-8D3A-AF08C1C9E328}"/>
    <hyperlink ref="E65" r:id="rId88" xr:uid="{0EB711AC-BFC4-E446-A969-4A0C92E0344B}"/>
    <hyperlink ref="E69" r:id="rId89" xr:uid="{638A60B6-B01E-9544-B809-3C2CD7456818}"/>
    <hyperlink ref="E76" r:id="rId90" xr:uid="{349D62B9-DCA6-6341-9DA2-8A23D1FE6047}"/>
    <hyperlink ref="E80" r:id="rId91" xr:uid="{B671F42D-D0C8-3E4B-AFEC-79FC5E7354FA}"/>
    <hyperlink ref="E91" r:id="rId92" xr:uid="{A4A29F9E-8970-E14A-978B-BBAFC8813247}"/>
    <hyperlink ref="E96" r:id="rId93" xr:uid="{8D5E95BA-ABFC-4C4F-AA01-1E7B3937D8E6}"/>
    <hyperlink ref="E100" r:id="rId94" xr:uid="{01FEBB24-BEEA-044A-87BF-CD085E2BAC95}"/>
    <hyperlink ref="E101" r:id="rId95" xr:uid="{2390F535-B68A-6049-88C2-30327088A7DC}"/>
    <hyperlink ref="E102" r:id="rId96" xr:uid="{73B8C327-8ACA-4C49-8122-1CA8F8321515}"/>
    <hyperlink ref="E104" r:id="rId97" xr:uid="{81B251EA-2200-A74C-A7CD-9F8234D0B16D}"/>
    <hyperlink ref="E75" r:id="rId98" xr:uid="{EDA64D45-F1C2-B64E-B359-DAD0C84E86BC}"/>
    <hyperlink ref="E37" r:id="rId99" xr:uid="{F4E9651A-D63C-5542-AA38-5F0E09772875}"/>
    <hyperlink ref="E105" r:id="rId100" xr:uid="{26AEECE9-F120-3A42-A52F-DDA1C5F1D4F9}"/>
  </hyperlinks>
  <pageMargins left="0.7" right="0.7" top="0.75" bottom="0.75" header="0.3" footer="0.3"/>
  <pageSetup paperSize="9" orientation="portrait" horizontalDpi="1200" verticalDpi="1200" r:id="rId10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0BD7-5A68-0C4A-BDAA-BAB468F9A03D}">
  <dimension ref="A2:H53"/>
  <sheetViews>
    <sheetView topLeftCell="A31" workbookViewId="0">
      <selection activeCell="I50" sqref="I50"/>
    </sheetView>
  </sheetViews>
  <sheetFormatPr defaultColWidth="11.42578125" defaultRowHeight="15"/>
  <cols>
    <col min="2" max="2" width="16.28515625" bestFit="1" customWidth="1"/>
    <col min="3" max="3" width="15.140625" bestFit="1" customWidth="1"/>
    <col min="4" max="4" width="14.140625" bestFit="1" customWidth="1"/>
    <col min="5" max="6" width="15.140625" bestFit="1" customWidth="1"/>
    <col min="7" max="7" width="17" bestFit="1" customWidth="1"/>
  </cols>
  <sheetData>
    <row r="2" spans="1:8" ht="60">
      <c r="A2" s="337"/>
      <c r="B2" s="338" t="s">
        <v>400</v>
      </c>
      <c r="C2" s="338" t="s">
        <v>1564</v>
      </c>
    </row>
    <row r="3" spans="1:8">
      <c r="A3" s="337" t="s">
        <v>444</v>
      </c>
      <c r="B3" s="261">
        <f>SUMIFS(SROI!$E$13:$E$86,SROI!$B$13:$B$86,B$2,SROI!$C$13:$C$86,$A3)</f>
        <v>2242344178.9095545</v>
      </c>
      <c r="C3" s="261">
        <f>SUMIFS(SROI!$E$13:$E$86,SROI!$B$13:$B$86,C$2,SROI!$C$13:$C$86,$A3)</f>
        <v>1208895244.6663547</v>
      </c>
    </row>
    <row r="4" spans="1:8">
      <c r="A4" s="337" t="s">
        <v>445</v>
      </c>
      <c r="B4" s="261">
        <f>SUMIFS(SROI!$E$13:$E$86,SROI!$B$13:$B$86,B$2,SROI!$C$13:$C$86,$A4)</f>
        <v>0</v>
      </c>
      <c r="C4" s="261">
        <f>SUMIFS(SROI!$E$13:$E$86,SROI!$B$13:$B$86,C$2,SROI!$C$13:$C$86,$A4)</f>
        <v>-1273062260.8700972</v>
      </c>
    </row>
    <row r="5" spans="1:8">
      <c r="A5" s="337" t="s">
        <v>447</v>
      </c>
      <c r="B5" s="261">
        <f>SUMIFS(SROI!$E$13:$E$86,SROI!$B$13:$B$86,B$2,SROI!$C$13:$C$86,$A5)</f>
        <v>0</v>
      </c>
      <c r="C5" s="261">
        <f>SUMIFS(SROI!$E$13:$E$86,SROI!$B$13:$B$86,C$2,SROI!$C$13:$C$86,$A5)</f>
        <v>-846406138.39033794</v>
      </c>
    </row>
    <row r="6" spans="1:8">
      <c r="A6" s="337" t="s">
        <v>1565</v>
      </c>
      <c r="B6" s="261">
        <f>SUM(B3:B4)</f>
        <v>2242344178.9095545</v>
      </c>
      <c r="C6" s="261">
        <f>SUM(C3:C4)</f>
        <v>-64167016.203742504</v>
      </c>
    </row>
    <row r="7" spans="1:8">
      <c r="A7" s="337" t="s">
        <v>453</v>
      </c>
      <c r="B7" s="42" t="s">
        <v>1566</v>
      </c>
      <c r="C7" s="262" cm="1">
        <f t="array" ref="C7">SUM(C3:C4/-C5)</f>
        <v>-7.5811142303118029E-2</v>
      </c>
    </row>
    <row r="9" spans="1:8">
      <c r="A9" s="337"/>
      <c r="B9" s="42" t="s">
        <v>399</v>
      </c>
      <c r="C9" s="42" t="s">
        <v>425</v>
      </c>
      <c r="D9" s="42" t="s">
        <v>368</v>
      </c>
      <c r="E9" s="42" t="s">
        <v>384</v>
      </c>
      <c r="F9" s="42" t="s">
        <v>413</v>
      </c>
      <c r="G9" s="340" t="s">
        <v>1480</v>
      </c>
    </row>
    <row r="10" spans="1:8">
      <c r="A10" s="337" t="s">
        <v>444</v>
      </c>
      <c r="B10" s="261">
        <f>SUMIFS(SROI!$E$13:$E$86,SROI!$A$13:$A$86,B$9,SROI!$C$13:$C$86,$A10)</f>
        <v>466563566.18623936</v>
      </c>
      <c r="C10" s="261">
        <f>SUMIFS(SROI!$E$13:$E$86,SROI!$A$13:$A$86,C$9,SROI!$C$13:$C$86,$A10)</f>
        <v>652787445.22006965</v>
      </c>
      <c r="D10" s="261">
        <f>SUMIFS(SROI!$E$13:$E$86,SROI!$A$13:$A$86,D$9,SROI!$C$13:$C$86,$A10)</f>
        <v>125833055.6848101</v>
      </c>
      <c r="E10" s="261">
        <f>SUMIFS(SROI!$E$13:$E$86,SROI!$A$13:$A$86,E$9,SROI!$C$13:$C$86,$A10)</f>
        <v>1053892473.6943674</v>
      </c>
      <c r="F10" s="261">
        <f>SUMIFS(SROI!$E$13:$E$86,SROI!$A$13:$A$86,F$9,SROI!$C$13:$C$86,$A10)</f>
        <v>1217132503.69508</v>
      </c>
      <c r="G10" s="341">
        <f>SUM(B10:F10)</f>
        <v>3516209044.480567</v>
      </c>
      <c r="H10" s="218"/>
    </row>
    <row r="11" spans="1:8">
      <c r="A11" s="337" t="s">
        <v>445</v>
      </c>
      <c r="B11" s="261">
        <f>SUMIFS(SROI!$E$13:$E$86,SROI!$A$13:$A$86,B$9,SROI!$C$13:$C$86,$A11)</f>
        <v>-14452739.194712115</v>
      </c>
      <c r="C11" s="261">
        <f>SUMIFS(SROI!$E$13:$E$86,SROI!$A$13:$A$86,C$9,SROI!$C$13:$C$86,$A11)</f>
        <v>-13279855.86184499</v>
      </c>
      <c r="D11" s="261">
        <f>SUMIFS(SROI!$E$13:$E$86,SROI!$A$13:$A$86,D$9,SROI!$C$13:$C$86,$A11)</f>
        <v>-22056347.900713932</v>
      </c>
      <c r="E11" s="261">
        <f>SUMIFS(SROI!$E$13:$E$86,SROI!$A$13:$A$86,E$9,SROI!$C$13:$C$86,$A11)</f>
        <v>-64709740.910622157</v>
      </c>
      <c r="F11" s="261">
        <f>SUMIFS(SROI!$E$13:$E$86,SROI!$A$13:$A$86,F$9,SROI!$C$13:$C$86,$A11)</f>
        <v>-1158563577.0022039</v>
      </c>
      <c r="G11" s="341">
        <f t="shared" ref="G11:G12" si="0">SUM(B11:F11)</f>
        <v>-1273062260.8700972</v>
      </c>
    </row>
    <row r="12" spans="1:8">
      <c r="A12" s="337" t="s">
        <v>447</v>
      </c>
      <c r="B12" s="261">
        <f>SUMIFS(SROI!$E$13:$E$86,SROI!$A$13:$A$86,B$9,SROI!$C$13:$C$86,$A12)</f>
        <v>-19950033.074213177</v>
      </c>
      <c r="C12" s="261">
        <f>SUMIFS(SROI!$E$13:$E$86,SROI!$A$13:$A$86,C$9,SROI!$C$13:$C$86,$A12)</f>
        <v>-44384803.293145753</v>
      </c>
      <c r="D12" s="261">
        <f>SUMIFS(SROI!$E$13:$E$86,SROI!$A$13:$A$86,D$9,SROI!$C$13:$C$86,$A12)</f>
        <v>-25087210.860623557</v>
      </c>
      <c r="E12" s="261">
        <f>SUMIFS(SROI!$E$13:$E$86,SROI!$A$13:$A$86,E$9,SROI!$C$13:$C$86,$A12)</f>
        <v>-500332232.65921587</v>
      </c>
      <c r="F12" s="261">
        <f>SUMIFS(SROI!$E$13:$E$86,SROI!$A$13:$A$86,F$9,SROI!$C$13:$C$86,$A12)</f>
        <v>-256651858.50313962</v>
      </c>
      <c r="G12" s="341">
        <f t="shared" si="0"/>
        <v>-846406138.39033794</v>
      </c>
    </row>
    <row r="13" spans="1:8">
      <c r="A13" s="337" t="s">
        <v>1565</v>
      </c>
      <c r="B13" s="261">
        <f>SUM(B10:B11)</f>
        <v>452110826.99152726</v>
      </c>
      <c r="C13" s="261">
        <f>SUM(C10:C11)</f>
        <v>639507589.35822463</v>
      </c>
      <c r="D13" s="261">
        <f t="shared" ref="D13:F13" si="1">SUM(D10:D11)</f>
        <v>103776707.78409617</v>
      </c>
      <c r="E13" s="261">
        <f t="shared" si="1"/>
        <v>989182732.78374529</v>
      </c>
      <c r="F13" s="261">
        <f t="shared" si="1"/>
        <v>58568926.692876101</v>
      </c>
      <c r="G13" s="342">
        <f t="shared" ref="G13" si="2">SUM(G10:G11)</f>
        <v>2243146783.6104698</v>
      </c>
    </row>
    <row r="14" spans="1:8">
      <c r="A14" s="337" t="s">
        <v>453</v>
      </c>
      <c r="B14" s="261" cm="1">
        <f t="array" ref="B14">SUM(B10:B11/-B12)</f>
        <v>22.662159271099775</v>
      </c>
      <c r="C14" s="261" cm="1">
        <f t="array" ref="C14">SUM(C10:C11/-C12)</f>
        <v>14.408255571946681</v>
      </c>
      <c r="D14" s="261" cm="1">
        <f t="array" ref="D14">SUM(D10:D11/-D12)</f>
        <v>4.1366379212358853</v>
      </c>
      <c r="E14" s="261" cm="1">
        <f t="array" ref="E14">SUM(E10:E11/-E12)</f>
        <v>1.9770517832247942</v>
      </c>
      <c r="F14" s="261" cm="1">
        <f t="array" ref="F14">SUM(F10:F11/-F12)</f>
        <v>0.22820378950094167</v>
      </c>
      <c r="G14" s="342" cm="1">
        <f t="array" ref="G14">SUM(G10:G11/-G12)</f>
        <v>2.6502014598764596</v>
      </c>
    </row>
    <row r="19" spans="1:3">
      <c r="A19" s="42"/>
      <c r="B19" s="42" t="s">
        <v>1555</v>
      </c>
      <c r="C19" s="42" t="s">
        <v>1556</v>
      </c>
    </row>
    <row r="20" spans="1:3">
      <c r="A20" s="42" t="s">
        <v>384</v>
      </c>
      <c r="B20" s="346">
        <f>SUMIFS('Benefits, Costs, Inv'!$P:$P,'Benefits, Costs, Inv'!$G:$G,B$19,'Benefits, Costs, Inv'!$D:$D,$A20)/1000000</f>
        <v>112.94840514000001</v>
      </c>
      <c r="C20" s="346">
        <f>SUMIFS('Benefits, Costs, Inv'!$P:$P,'Benefits, Costs, Inv'!$G:$G,C$19,'Benefits, Costs, Inv'!$D:$D,$A20)/1000000</f>
        <v>0</v>
      </c>
    </row>
    <row r="21" spans="1:3">
      <c r="A21" s="42" t="s">
        <v>413</v>
      </c>
      <c r="B21" s="346">
        <f>SUMIFS('Benefits, Costs, Inv'!$P:$P,'Benefits, Costs, Inv'!$G:$G,B$19,'Benefits, Costs, Inv'!$D:$D,$A21)/1000000</f>
        <v>3.912431394576402</v>
      </c>
      <c r="C21" s="346">
        <f>SUMIFS('Benefits, Costs, Inv'!$P:$P,'Benefits, Costs, Inv'!$G:$G,C$19,'Benefits, Costs, Inv'!$D:$D,$A21)/1000000</f>
        <v>69.382554054147747</v>
      </c>
    </row>
    <row r="22" spans="1:3">
      <c r="A22" s="42" t="s">
        <v>425</v>
      </c>
      <c r="B22" s="346">
        <f>SUMIFS('Benefits, Costs, Inv'!$P:$P,'Benefits, Costs, Inv'!$G:$G,B$19,'Benefits, Costs, Inv'!$D:$D,$A22)/1000000</f>
        <v>0</v>
      </c>
      <c r="C22" s="346">
        <f>SUMIFS('Benefits, Costs, Inv'!$P:$P,'Benefits, Costs, Inv'!$G:$G,C$19,'Benefits, Costs, Inv'!$D:$D,$A22)/1000000</f>
        <v>34.295653135180963</v>
      </c>
    </row>
    <row r="23" spans="1:3">
      <c r="A23" s="42" t="s">
        <v>399</v>
      </c>
      <c r="B23" s="346">
        <f>SUMIFS('Benefits, Costs, Inv'!$P:$P,'Benefits, Costs, Inv'!$G:$G,B$19,'Benefits, Costs, Inv'!$D:$D,$A23)/1000000</f>
        <v>1.5324964425499348</v>
      </c>
      <c r="C23" s="346">
        <f>SUMIFS('Benefits, Costs, Inv'!$P:$P,'Benefits, Costs, Inv'!$G:$G,C$19,'Benefits, Costs, Inv'!$D:$D,$A23)/1000000</f>
        <v>22.979467365274168</v>
      </c>
    </row>
    <row r="24" spans="1:3">
      <c r="A24" s="42" t="s">
        <v>368</v>
      </c>
      <c r="B24" s="346">
        <f>SUMIFS('Benefits, Costs, Inv'!$P:$P,'Benefits, Costs, Inv'!$G:$G,B$19,'Benefits, Costs, Inv'!$D:$D,$A24)/1000000</f>
        <v>6.61092192</v>
      </c>
      <c r="C24" s="346">
        <f>SUMIFS('Benefits, Costs, Inv'!$P:$P,'Benefits, Costs, Inv'!$G:$G,C$19,'Benefits, Costs, Inv'!$D:$D,$A24)/1000000</f>
        <v>0</v>
      </c>
    </row>
    <row r="38" spans="1:6">
      <c r="A38" s="239"/>
    </row>
    <row r="39" spans="1:6">
      <c r="A39" s="241"/>
    </row>
    <row r="47" spans="1:6">
      <c r="B47" s="11" t="s">
        <v>1550</v>
      </c>
      <c r="E47" s="11" t="s">
        <v>1551</v>
      </c>
    </row>
    <row r="48" spans="1:6">
      <c r="B48" t="s">
        <v>425</v>
      </c>
      <c r="C48" s="252">
        <f>-SROI!E37</f>
        <v>44384803.293145753</v>
      </c>
      <c r="E48" t="s">
        <v>425</v>
      </c>
      <c r="F48" s="252">
        <f>-SROI!I34</f>
        <v>697687.02455589583</v>
      </c>
    </row>
    <row r="49" spans="2:6">
      <c r="B49" t="s">
        <v>399</v>
      </c>
      <c r="C49" s="252">
        <f>-SUM(SROI!E23)</f>
        <v>19950033.074213177</v>
      </c>
      <c r="E49" t="s">
        <v>399</v>
      </c>
      <c r="F49" s="252">
        <f>-SROI!I20</f>
        <v>759307.08212070598</v>
      </c>
    </row>
    <row r="50" spans="2:6">
      <c r="B50" t="s">
        <v>413</v>
      </c>
      <c r="C50" s="252">
        <f>-SROI!E86</f>
        <v>256651858.50313962</v>
      </c>
      <c r="E50" t="s">
        <v>413</v>
      </c>
      <c r="F50" s="252">
        <f>-SROI!K83</f>
        <v>69768000.000000015</v>
      </c>
    </row>
    <row r="51" spans="2:6">
      <c r="B51" t="s">
        <v>368</v>
      </c>
      <c r="C51" s="252">
        <f>-SUM(SROI!E50:E52)</f>
        <v>25087210.860623557</v>
      </c>
      <c r="E51" t="s">
        <v>368</v>
      </c>
      <c r="F51" s="252">
        <f>-SUM(SROI!I46:I47)</f>
        <v>1158779.7261890499</v>
      </c>
    </row>
    <row r="52" spans="2:6">
      <c r="B52" t="s">
        <v>384</v>
      </c>
      <c r="C52" s="252">
        <f>-SUM(SROI!E68:E72)</f>
        <v>500332232.65921587</v>
      </c>
      <c r="E52" t="s">
        <v>384</v>
      </c>
      <c r="F52" s="252">
        <f>-SUM(SROI!G62:G65)</f>
        <v>4293234.7031963468</v>
      </c>
    </row>
    <row r="53" spans="2:6">
      <c r="F53" s="252">
        <f>SUM(F48:F52)</f>
        <v>76677008.536062017</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997C7-A82F-3941-BF5B-94F2327FF640}">
  <dimension ref="A1:K24"/>
  <sheetViews>
    <sheetView workbookViewId="0">
      <selection activeCell="K13" sqref="K13"/>
    </sheetView>
  </sheetViews>
  <sheetFormatPr defaultColWidth="8.85546875" defaultRowHeight="15"/>
  <cols>
    <col min="1" max="1" width="75.42578125" bestFit="1" customWidth="1"/>
    <col min="2" max="5" width="15.28515625" customWidth="1"/>
    <col min="8" max="8" width="15.28515625" style="243" bestFit="1" customWidth="1"/>
    <col min="10" max="10" width="16.7109375" bestFit="1" customWidth="1"/>
    <col min="11" max="11" width="15.28515625" style="243" bestFit="1" customWidth="1"/>
  </cols>
  <sheetData>
    <row r="1" spans="1:11" ht="18.75">
      <c r="A1" s="310" t="s">
        <v>369</v>
      </c>
    </row>
    <row r="2" spans="1:11">
      <c r="A2" t="str" cm="1">
        <f t="array" ref="A2">IFERROR(INDEX('Benefits, Costs, Inv'!$C:$C,SMALL(IF('Benefits, Costs, Inv'!$F:$F=$A$1,ROW('Benefits, Costs, Inv'!$C:$C)),ROW(2:2))),””)</f>
        <v>Savings from generation of non-potable water supply</v>
      </c>
      <c r="B2" t="str" cm="1">
        <f t="array" ref="B2">IFERROR(INDEX('Benefits, Costs, Inv'!$F:$F,SMALL(IF('Benefits, Costs, Inv'!$F:$F=$A$1,ROW('Benefits, Costs, Inv'!$F:$F)),ROW(2:2)),1),””)</f>
        <v>Benefit</v>
      </c>
      <c r="C2" t="str">
        <f t="array" ref="C2">IFERROR(INDEX('Benefits, Costs, Inv'!$D:$D,SMALL(IF('Benefits, Costs, Inv'!$F:$F=$A$1,ROW('Benefits, Costs, Inv'!$D:$D)),ROW(2:2))),””)</f>
        <v>Water</v>
      </c>
      <c r="D2" t="str">
        <f t="array" ref="D2">IFERROR(INDEX('Benefits, Costs, Inv'!$G:$G,SMALL(IF('Benefits, Costs, Inv'!$F:$F=$A$1,ROW('Benefits, Costs, Inv'!$G:$G)),ROW(2:2))),””)</f>
        <v>Cost Saving</v>
      </c>
      <c r="E2">
        <f t="array" ref="E2">IFERROR(INDEX('Benefits, Costs, Inv'!$P:$P,SMALL(IF('Benefits, Costs, Inv'!$F:$F=$A$1,ROW('Benefits, Costs, Inv'!$P:$P)),ROW(2:2))),””)</f>
        <v>4422376.4400000004</v>
      </c>
      <c r="G2" s="311" t="s">
        <v>1473</v>
      </c>
      <c r="H2" s="312" cm="1">
        <f t="array" ref="H2">SUM(IFERROR(E2:E31,0))</f>
        <v>249473383.97172922</v>
      </c>
      <c r="J2" s="311" t="s">
        <v>1473</v>
      </c>
      <c r="K2" s="312" cm="1">
        <f t="array" ref="K2">SUM(IFERROR(E2:E31,0))</f>
        <v>249473383.97172922</v>
      </c>
    </row>
    <row r="3" spans="1:11">
      <c r="A3" t="str" cm="1">
        <f t="array" ref="A3">IFERROR(INDEX('Benefits, Costs, Inv'!$C:$C,SMALL(IF('Benefits, Costs, Inv'!$F:$F=$A$1,ROW('Benefits, Costs, Inv'!$C:$C)),ROW(3:3))),””)</f>
        <v>Decrease in electricity bill through in-house rooftop PV</v>
      </c>
      <c r="B3" t="str" cm="1">
        <f t="array" ref="B3">IFERROR(INDEX('Benefits, Costs, Inv'!$F:$F,SMALL(IF('Benefits, Costs, Inv'!$F:$F=$A$1,ROW('Benefits, Costs, Inv'!$F:$F)),ROW(3:3)),1),””)</f>
        <v>Benefit</v>
      </c>
      <c r="C3" t="str">
        <f t="array" ref="C3">IFERROR(INDEX('Benefits, Costs, Inv'!$D:$D,SMALL(IF('Benefits, Costs, Inv'!$F:$F=$A$1,ROW('Benefits, Costs, Inv'!$D:$D)),ROW(3:3))),””)</f>
        <v>Energy</v>
      </c>
      <c r="D3" t="str">
        <f t="array" ref="D3">IFERROR(INDEX('Benefits, Costs, Inv'!$G:$G,SMALL(IF('Benefits, Costs, Inv'!$F:$F=$A$1,ROW('Benefits, Costs, Inv'!$G:$G)),ROW(3:3))),””)</f>
        <v>Cost Saving</v>
      </c>
      <c r="E3">
        <f t="array" ref="E3">IFERROR(INDEX('Benefits, Costs, Inv'!$P:$P,SMALL(IF('Benefits, Costs, Inv'!$F:$F=$A$1,ROW('Benefits, Costs, Inv'!$P:$P)),ROW(3:3))),””)</f>
        <v>61070000</v>
      </c>
      <c r="G3" t="str" cm="1">
        <f t="array" ref="G3:G8">_xlfn.UNIQUE(C2:C21)</f>
        <v>Water</v>
      </c>
      <c r="H3" s="243">
        <f>SUMIF(C2:$C$28,G3,E2:$E$28)</f>
        <v>4422376.4400000004</v>
      </c>
      <c r="J3" t="s">
        <v>1435</v>
      </c>
      <c r="K3" s="243">
        <f t="array" ref="K3">SUMIF($D2:D$28,J3,$E2:E$28)</f>
        <v>0</v>
      </c>
    </row>
    <row r="4" spans="1:11">
      <c r="A4" t="str" cm="1">
        <f t="array" ref="A4">IFERROR(INDEX('Benefits, Costs, Inv'!$C:$C,SMALL(IF('Benefits, Costs, Inv'!$F:$F=$A$1,ROW('Benefits, Costs, Inv'!$C:$C)),ROW(4:4))),””)</f>
        <v>Decrease in electricity bill through in-house facade PV</v>
      </c>
      <c r="B4" t="str" cm="1">
        <f t="array" ref="B4">IFERROR(INDEX('Benefits, Costs, Inv'!$F:$F,SMALL(IF('Benefits, Costs, Inv'!$F:$F=$A$1,ROW('Benefits, Costs, Inv'!$F:$F)),ROW(4:4)),1),””)</f>
        <v>Benefit</v>
      </c>
      <c r="C4" t="str">
        <f t="array" ref="C4">IFERROR(INDEX('Benefits, Costs, Inv'!$D:$D,SMALL(IF('Benefits, Costs, Inv'!$F:$F=$A$1,ROW('Benefits, Costs, Inv'!$D:$D)),ROW(4:4))),””)</f>
        <v>Energy</v>
      </c>
      <c r="D4" t="str">
        <f t="array" ref="D4">IFERROR(INDEX('Benefits, Costs, Inv'!$G:$G,SMALL(IF('Benefits, Costs, Inv'!$F:$F=$A$1,ROW('Benefits, Costs, Inv'!$G:$G)),ROW(4:4))),””)</f>
        <v>Cost Saving</v>
      </c>
      <c r="E4">
        <f t="array" ref="E4">IFERROR(INDEX('Benefits, Costs, Inv'!$P:$P,SMALL(IF('Benefits, Costs, Inv'!$F:$F=$A$1,ROW('Benefits, Costs, Inv'!$P:$P)),ROW(4:4))),””)</f>
        <v>3410000</v>
      </c>
      <c r="G4" t="str">
        <v>Energy</v>
      </c>
      <c r="H4" s="243">
        <f>SUMIF(C3:$C$28,G4,E3:$E$28)</f>
        <v>112948405.14</v>
      </c>
      <c r="J4" t="s">
        <v>1436</v>
      </c>
      <c r="K4" s="243">
        <f t="array" ref="K4">SUMIF($D3:D$28,J4,$E3:E$28)</f>
        <v>0</v>
      </c>
    </row>
    <row r="5" spans="1:11">
      <c r="A5" t="str" cm="1">
        <f t="array" ref="A5">IFERROR(INDEX('Benefits, Costs, Inv'!$C:$C,SMALL(IF('Benefits, Costs, Inv'!$F:$F=$A$1,ROW('Benefits, Costs, Inv'!$C:$C)),ROW(5:5))),””)</f>
        <v>Decrease in electricity bill through reduced demand due to District cooling system, Retrofitting etc.</v>
      </c>
      <c r="B5" t="str" cm="1">
        <f t="array" ref="B5">IFERROR(INDEX('Benefits, Costs, Inv'!$F:$F,SMALL(IF('Benefits, Costs, Inv'!$F:$F=$A$1,ROW('Benefits, Costs, Inv'!$F:$F)),ROW(5:5)),1),””)</f>
        <v>Benefit</v>
      </c>
      <c r="C5" t="str">
        <f t="array" ref="C5">IFERROR(INDEX('Benefits, Costs, Inv'!$D:$D,SMALL(IF('Benefits, Costs, Inv'!$F:$F=$A$1,ROW('Benefits, Costs, Inv'!$D:$D)),ROW(5:5))),””)</f>
        <v>Energy</v>
      </c>
      <c r="D5" t="str">
        <f t="array" ref="D5">IFERROR(INDEX('Benefits, Costs, Inv'!$G:$G,SMALL(IF('Benefits, Costs, Inv'!$F:$F=$A$1,ROW('Benefits, Costs, Inv'!$G:$G)),ROW(5:5))),””)</f>
        <v>Cost Saving</v>
      </c>
      <c r="E5">
        <f t="array" ref="E5">IFERROR(INDEX('Benefits, Costs, Inv'!$P:$P,SMALL(IF('Benefits, Costs, Inv'!$F:$F=$A$1,ROW('Benefits, Costs, Inv'!$P:$P)),ROW(5:5))),””)</f>
        <v>42888405.140000001</v>
      </c>
      <c r="G5" t="str">
        <v>Greenery</v>
      </c>
      <c r="H5" s="243">
        <f>SUMIF(C4:$C$28,G5,E4:$E$28)</f>
        <v>24511963.807824105</v>
      </c>
      <c r="J5" t="s">
        <v>1437</v>
      </c>
      <c r="K5" s="243">
        <f t="array" ref="K5">SUMIF($D4:D$28,J5,$E4:E$28)</f>
        <v>0</v>
      </c>
    </row>
    <row r="6" spans="1:11">
      <c r="A6" t="str" cm="1">
        <f t="array" ref="A6">IFERROR(INDEX('Benefits, Costs, Inv'!$C:$C,SMALL(IF('Benefits, Costs, Inv'!$F:$F=$A$1,ROW('Benefits, Costs, Inv'!$C:$C)),ROW(6:6))),””)</f>
        <v>Decrease in electricity bill through in-house wind turbine</v>
      </c>
      <c r="B6" t="str" cm="1">
        <f t="array" ref="B6">IFERROR(INDEX('Benefits, Costs, Inv'!$F:$F,SMALL(IF('Benefits, Costs, Inv'!$F:$F=$A$1,ROW('Benefits, Costs, Inv'!$F:$F)),ROW(6:6)),1),””)</f>
        <v>Benefit</v>
      </c>
      <c r="C6" t="str">
        <f t="array" ref="C6">IFERROR(INDEX('Benefits, Costs, Inv'!$D:$D,SMALL(IF('Benefits, Costs, Inv'!$F:$F=$A$1,ROW('Benefits, Costs, Inv'!$D:$D)),ROW(6:6))),””)</f>
        <v>Energy</v>
      </c>
      <c r="D6" t="str">
        <f t="array" ref="D6">IFERROR(INDEX('Benefits, Costs, Inv'!$G:$G,SMALL(IF('Benefits, Costs, Inv'!$F:$F=$A$1,ROW('Benefits, Costs, Inv'!$G:$G)),ROW(6:6))),””)</f>
        <v>Cost Saving</v>
      </c>
      <c r="E6">
        <f t="array" ref="E6">IFERROR(INDEX('Benefits, Costs, Inv'!$P:$P,SMALL(IF('Benefits, Costs, Inv'!$F:$F=$A$1,ROW('Benefits, Costs, Inv'!$P:$P)),ROW(6:6))),””)</f>
        <v>5580000</v>
      </c>
      <c r="G6" t="str">
        <v>Mobility</v>
      </c>
      <c r="H6" s="243">
        <f>SUMIF(C5:$C$28,G6,E5:$E$28)</f>
        <v>73294985.448724151</v>
      </c>
      <c r="J6" t="s">
        <v>1438</v>
      </c>
      <c r="K6" s="243">
        <f t="array" ref="K6">SUMIF($D5:D$28,J6,$E5:E$28)</f>
        <v>0</v>
      </c>
    </row>
    <row r="7" spans="1:11">
      <c r="A7" t="str" cm="1">
        <f t="array" ref="A7">IFERROR(INDEX('Benefits, Costs, Inv'!$C:$C,SMALL(IF('Benefits, Costs, Inv'!$F:$F=$A$1,ROW('Benefits, Costs, Inv'!$C:$C)),ROW(7:7))),””)</f>
        <v>Increase in physical health due to greenery, vertical green and rooftop green</v>
      </c>
      <c r="B7" t="str" cm="1">
        <f t="array" ref="B7">IFERROR(INDEX('Benefits, Costs, Inv'!$F:$F,SMALL(IF('Benefits, Costs, Inv'!$F:$F=$A$1,ROW('Benefits, Costs, Inv'!$F:$F)),ROW(7:7)),1),””)</f>
        <v>Benefit</v>
      </c>
      <c r="C7" t="str">
        <f t="array" ref="C7">IFERROR(INDEX('Benefits, Costs, Inv'!$D:$D,SMALL(IF('Benefits, Costs, Inv'!$F:$F=$A$1,ROW('Benefits, Costs, Inv'!$D:$D)),ROW(7:7))),””)</f>
        <v>Greenery</v>
      </c>
      <c r="D7" t="str">
        <f t="array" ref="D7">IFERROR(INDEX('Benefits, Costs, Inv'!$G:$G,SMALL(IF('Benefits, Costs, Inv'!$F:$F=$A$1,ROW('Benefits, Costs, Inv'!$G:$G)),ROW(7:7))),””)</f>
        <v>Increased Income</v>
      </c>
      <c r="E7">
        <f t="array" ref="E7">IFERROR(INDEX('Benefits, Costs, Inv'!$P:$P,SMALL(IF('Benefits, Costs, Inv'!$F:$F=$A$1,ROW('Benefits, Costs, Inv'!$P:$P)),ROW(7:7))),””)</f>
        <v>17673885.333668467</v>
      </c>
      <c r="G7" t="str">
        <v>Public Space</v>
      </c>
      <c r="H7" s="243">
        <f>SUMIF(C6:$C$28,G7,E6:$E$28)</f>
        <v>34295653.135180965</v>
      </c>
      <c r="J7" s="314" t="str">
        <f t="array" ref="J7">_xlfn.UNIQUE(D6:D28)</f>
        <v>Cost Saving</v>
      </c>
      <c r="K7" s="313">
        <f t="array" ref="K7">SUMIF($D6:D$28,J7,$E6:E$28)</f>
        <v>11024927.837126337</v>
      </c>
    </row>
    <row r="8" spans="1:11">
      <c r="A8" t="str" cm="1">
        <f t="array" ref="A8">IFERROR(INDEX('Benefits, Costs, Inv'!$C:$C,SMALL(IF('Benefits, Costs, Inv'!$F:$F=$A$1,ROW('Benefits, Costs, Inv'!$C:$C)),ROW(8:8))),””)</f>
        <v>Increase in mental health due to greenery, vertical green and rooftop green</v>
      </c>
      <c r="B8" t="str" cm="1">
        <f t="array" ref="B8">IFERROR(INDEX('Benefits, Costs, Inv'!$F:$F,SMALL(IF('Benefits, Costs, Inv'!$F:$F=$A$1,ROW('Benefits, Costs, Inv'!$F:$F)),ROW(8:8)),1),””)</f>
        <v>Benefit</v>
      </c>
      <c r="C8" t="str">
        <f t="array" ref="C8">IFERROR(INDEX('Benefits, Costs, Inv'!$D:$D,SMALL(IF('Benefits, Costs, Inv'!$F:$F=$A$1,ROW('Benefits, Costs, Inv'!$D:$D)),ROW(8:8))),””)</f>
        <v>Greenery</v>
      </c>
      <c r="D8" t="str">
        <f t="array" ref="D8">IFERROR(INDEX('Benefits, Costs, Inv'!$G:$G,SMALL(IF('Benefits, Costs, Inv'!$F:$F=$A$1,ROW('Benefits, Costs, Inv'!$G:$G)),ROW(8:8))),””)</f>
        <v>Increased Income</v>
      </c>
      <c r="E8">
        <f t="array" ref="E8">IFERROR(INDEX('Benefits, Costs, Inv'!$P:$P,SMALL(IF('Benefits, Costs, Inv'!$F:$F=$A$1,ROW('Benefits, Costs, Inv'!$P:$P)),ROW(8:8))),””)</f>
        <v>4695838.7134946035</v>
      </c>
      <c r="G8" t="e">
        <v>#NAME?</v>
      </c>
      <c r="J8" s="314" t="str">
        <f t="array" ref="J8">_xlfn.UNIQUE(D7:D29)</f>
        <v>Increased Income</v>
      </c>
      <c r="K8" s="313">
        <f t="array" ref="K8">SUMIF($D7:D$28,J8,$E7:E$28)</f>
        <v>126657674.55460288</v>
      </c>
    </row>
    <row r="9" spans="1:11">
      <c r="A9" t="str" cm="1">
        <f t="array" ref="A9">IFERROR(INDEX('Benefits, Costs, Inv'!$C:$C,SMALL(IF('Benefits, Costs, Inv'!$F:$F=$A$1,ROW('Benefits, Costs, Inv'!$C:$C)),ROW(9:9))),””)</f>
        <v>Increase in physical health due to less Urban heat island health costs</v>
      </c>
      <c r="B9" t="str" cm="1">
        <f t="array" ref="B9">IFERROR(INDEX('Benefits, Costs, Inv'!$F:$F,SMALL(IF('Benefits, Costs, Inv'!$F:$F=$A$1,ROW('Benefits, Costs, Inv'!$F:$F)),ROW(9:9)),1),””)</f>
        <v>Benefit</v>
      </c>
      <c r="C9" t="str">
        <f t="array" ref="C9">IFERROR(INDEX('Benefits, Costs, Inv'!$D:$D,SMALL(IF('Benefits, Costs, Inv'!$F:$F=$A$1,ROW('Benefits, Costs, Inv'!$D:$D)),ROW(9:9))),””)</f>
        <v>Greenery</v>
      </c>
      <c r="D9" t="str">
        <f t="array" ref="D9">IFERROR(INDEX('Benefits, Costs, Inv'!$G:$G,SMALL(IF('Benefits, Costs, Inv'!$F:$F=$A$1,ROW('Benefits, Costs, Inv'!$G:$G)),ROW(9:9))),””)</f>
        <v>Increased Income</v>
      </c>
      <c r="E9">
        <f t="array" ref="E9">IFERROR(INDEX('Benefits, Costs, Inv'!$P:$P,SMALL(IF('Benefits, Costs, Inv'!$F:$F=$A$1,ROW('Benefits, Costs, Inv'!$P:$P)),ROW(9:9))),””)</f>
        <v>609743.31811110093</v>
      </c>
      <c r="G9" t="s">
        <v>1480</v>
      </c>
      <c r="H9" s="243">
        <f>SUM(H3:H7)</f>
        <v>249473383.97172922</v>
      </c>
      <c r="J9" s="314" t="str">
        <f t="array" ref="J9">_xlfn.UNIQUE(D8:D30)</f>
        <v>Increased Income</v>
      </c>
      <c r="K9" s="313">
        <f t="array" ref="K9">SUMIF($D8:D$28,J9,$E8:E$28)</f>
        <v>108983789.22093442</v>
      </c>
    </row>
    <row r="10" spans="1:11">
      <c r="A10" t="str" cm="1">
        <f t="array" ref="A10">IFERROR(INDEX('Benefits, Costs, Inv'!$C:$C,SMALL(IF('Benefits, Costs, Inv'!$F:$F=$A$1,ROW('Benefits, Costs, Inv'!$C:$C)),ROW(10:10))),””)</f>
        <v>Energy avoidance for Urban heat island reduction</v>
      </c>
      <c r="B10" t="str" cm="1">
        <f t="array" ref="B10">IFERROR(INDEX('Benefits, Costs, Inv'!$F:$F,SMALL(IF('Benefits, Costs, Inv'!$F:$F=$A$1,ROW('Benefits, Costs, Inv'!$F:$F)),ROW(10:10)),1),””)</f>
        <v>Benefit</v>
      </c>
      <c r="C10" t="str">
        <f t="array" ref="C10">IFERROR(INDEX('Benefits, Costs, Inv'!$D:$D,SMALL(IF('Benefits, Costs, Inv'!$F:$F=$A$1,ROW('Benefits, Costs, Inv'!$D:$D)),ROW(10:10))),””)</f>
        <v>Greenery</v>
      </c>
      <c r="D10" t="str">
        <f t="array" ref="D10">IFERROR(INDEX('Benefits, Costs, Inv'!$G:$G,SMALL(IF('Benefits, Costs, Inv'!$F:$F=$A$1,ROW('Benefits, Costs, Inv'!$G:$G)),ROW(10:10))),””)</f>
        <v>Cost Saving</v>
      </c>
      <c r="E10">
        <f t="array" ref="E10">IFERROR(INDEX('Benefits, Costs, Inv'!$P:$P,SMALL(IF('Benefits, Costs, Inv'!$F:$F=$A$1,ROW('Benefits, Costs, Inv'!$P:$P)),ROW(10:10))),””)</f>
        <v>1463092.3302517983</v>
      </c>
      <c r="J10" s="314" t="str">
        <f t="array" ref="J10">_xlfn.UNIQUE(D9:D31)</f>
        <v>Increased Income</v>
      </c>
      <c r="K10" s="313">
        <f t="array" ref="K10">SUMIF($D9:D$28,J10,$E9:E$28)</f>
        <v>104287950.50743981</v>
      </c>
    </row>
    <row r="11" spans="1:11">
      <c r="A11" t="str" cm="1">
        <f t="array" ref="A11">IFERROR(INDEX('Benefits, Costs, Inv'!$C:$C,SMALL(IF('Benefits, Costs, Inv'!$F:$F=$A$1,ROW('Benefits, Costs, Inv'!$C:$C)),ROW(11:11))),””)</f>
        <v>Water Cost avoidance for Urban heat island reduction</v>
      </c>
      <c r="B11" t="str" cm="1">
        <f t="array" ref="B11">IFERROR(INDEX('Benefits, Costs, Inv'!$F:$F,SMALL(IF('Benefits, Costs, Inv'!$F:$F=$A$1,ROW('Benefits, Costs, Inv'!$F:$F)),ROW(11:11)),1),””)</f>
        <v>Benefit</v>
      </c>
      <c r="C11" t="str">
        <f t="array" ref="C11">IFERROR(INDEX('Benefits, Costs, Inv'!$D:$D,SMALL(IF('Benefits, Costs, Inv'!$F:$F=$A$1,ROW('Benefits, Costs, Inv'!$D:$D)),ROW(11:11))),””)</f>
        <v>Greenery</v>
      </c>
      <c r="D11" t="str">
        <f t="array" ref="D11">IFERROR(INDEX('Benefits, Costs, Inv'!$G:$G,SMALL(IF('Benefits, Costs, Inv'!$F:$F=$A$1,ROW('Benefits, Costs, Inv'!$G:$G)),ROW(11:11))),””)</f>
        <v>Cost Saving</v>
      </c>
      <c r="E11">
        <f t="array" ref="E11">IFERROR(INDEX('Benefits, Costs, Inv'!$P:$P,SMALL(IF('Benefits, Costs, Inv'!$F:$F=$A$1,ROW('Benefits, Costs, Inv'!$P:$P)),ROW(11:11))),””)</f>
        <v>69404.11229813665</v>
      </c>
      <c r="J11" s="314" t="str">
        <f t="array" ref="J11">_xlfn.UNIQUE(D10:D32)</f>
        <v>Cost Saving</v>
      </c>
      <c r="K11" s="313">
        <f t="array" ref="K11">SUMIF($D10:D$28,J11,$E10:E$28)</f>
        <v>5444927.837126337</v>
      </c>
    </row>
    <row r="12" spans="1:11">
      <c r="A12" t="str" cm="1">
        <f t="array" ref="A12">IFERROR(INDEX('Benefits, Costs, Inv'!$C:$C,SMALL(IF('Benefits, Costs, Inv'!$F:$F=$A$1,ROW('Benefits, Costs, Inv'!$C:$C)),ROW(12:12))),””)</f>
        <v>Increase in productivity due to more Efficient transport system</v>
      </c>
      <c r="B12" t="str" cm="1">
        <f t="array" ref="B12">IFERROR(INDEX('Benefits, Costs, Inv'!$F:$F,SMALL(IF('Benefits, Costs, Inv'!$F:$F=$A$1,ROW('Benefits, Costs, Inv'!$F:$F)),ROW(12:12)),1),””)</f>
        <v>Benefit</v>
      </c>
      <c r="C12" t="str">
        <f t="array" ref="C12">IFERROR(INDEX('Benefits, Costs, Inv'!$D:$D,SMALL(IF('Benefits, Costs, Inv'!$F:$F=$A$1,ROW('Benefits, Costs, Inv'!$D:$D)),ROW(12:12))),””)</f>
        <v>Mobility</v>
      </c>
      <c r="D12" t="str">
        <f t="array" ref="D12">IFERROR(INDEX('Benefits, Costs, Inv'!$G:$G,SMALL(IF('Benefits, Costs, Inv'!$F:$F=$A$1,ROW('Benefits, Costs, Inv'!$G:$G)),ROW(12:12))),””)</f>
        <v>Increased Income</v>
      </c>
      <c r="E12">
        <f t="array" ref="E12">IFERROR(INDEX('Benefits, Costs, Inv'!$P:$P,SMALL(IF('Benefits, Costs, Inv'!$F:$F=$A$1,ROW('Benefits, Costs, Inv'!$P:$P)),ROW(12:12))),””)</f>
        <v>39550368</v>
      </c>
    </row>
    <row r="13" spans="1:11">
      <c r="A13" t="str" cm="1">
        <f t="array" ref="A13">IFERROR(INDEX('Benefits, Costs, Inv'!$C:$C,SMALL(IF('Benefits, Costs, Inv'!$F:$F=$A$1,ROW('Benefits, Costs, Inv'!$C:$C)),ROW(13:13))),””)</f>
        <v>Increase in wellbeing due to less Congestion</v>
      </c>
      <c r="B13" t="str" cm="1">
        <f t="array" ref="B13">IFERROR(INDEX('Benefits, Costs, Inv'!$F:$F,SMALL(IF('Benefits, Costs, Inv'!$F:$F=$A$1,ROW('Benefits, Costs, Inv'!$F:$F)),ROW(13:13)),1),””)</f>
        <v>Benefit</v>
      </c>
      <c r="C13" t="str">
        <f t="array" ref="C13">IFERROR(INDEX('Benefits, Costs, Inv'!$D:$D,SMALL(IF('Benefits, Costs, Inv'!$F:$F=$A$1,ROW('Benefits, Costs, Inv'!$D:$D)),ROW(13:13))),””)</f>
        <v>Mobility</v>
      </c>
      <c r="D13" t="str">
        <f t="array" ref="D13">IFERROR(INDEX('Benefits, Costs, Inv'!$G:$G,SMALL(IF('Benefits, Costs, Inv'!$F:$F=$A$1,ROW('Benefits, Costs, Inv'!$G:$G)),ROW(13:13))),””)</f>
        <v>Increased Income</v>
      </c>
      <c r="E13">
        <f t="array" ref="E13">IFERROR(INDEX('Benefits, Costs, Inv'!$P:$P,SMALL(IF('Benefits, Costs, Inv'!$F:$F=$A$1,ROW('Benefits, Costs, Inv'!$P:$P)),ROW(13:13))),””)</f>
        <v>2278551.9033230646</v>
      </c>
    </row>
    <row r="14" spans="1:11">
      <c r="A14" t="str" cm="1">
        <f t="array" ref="A14">IFERROR(INDEX('Benefits, Costs, Inv'!$C:$C,SMALL(IF('Benefits, Costs, Inv'!$F:$F=$A$1,ROW('Benefits, Costs, Inv'!$C:$C)),ROW(14:14))),””)</f>
        <v>increase in community bonding (neighbourhood cohesion) due to public spaces</v>
      </c>
      <c r="B14" t="str" cm="1">
        <f t="array" ref="B14">IFERROR(INDEX('Benefits, Costs, Inv'!$F:$F,SMALL(IF('Benefits, Costs, Inv'!$F:$F=$A$1,ROW('Benefits, Costs, Inv'!$F:$F)),ROW(14:14)),1),””)</f>
        <v>Benefit</v>
      </c>
      <c r="C14" t="str">
        <f t="array" ref="C14">IFERROR(INDEX('Benefits, Costs, Inv'!$D:$D,SMALL(IF('Benefits, Costs, Inv'!$F:$F=$A$1,ROW('Benefits, Costs, Inv'!$D:$D)),ROW(14:14))),””)</f>
        <v>Public Space</v>
      </c>
      <c r="D14" t="str">
        <f t="array" ref="D14">IFERROR(INDEX('Benefits, Costs, Inv'!$G:$G,SMALL(IF('Benefits, Costs, Inv'!$F:$F=$A$1,ROW('Benefits, Costs, Inv'!$G:$G)),ROW(14:14))),””)</f>
        <v>Increased Income</v>
      </c>
      <c r="E14">
        <f t="array" ref="E14">IFERROR(INDEX('Benefits, Costs, Inv'!$P:$P,SMALL(IF('Benefits, Costs, Inv'!$F:$F=$A$1,ROW('Benefits, Costs, Inv'!$P:$P)),ROW(14:14))),””)</f>
        <v>413060.41095890413</v>
      </c>
    </row>
    <row r="15" spans="1:11">
      <c r="A15" t="str" cm="1">
        <f t="array" ref="A15">IFERROR(INDEX('Benefits, Costs, Inv'!$C:$C,SMALL(IF('Benefits, Costs, Inv'!$F:$F=$A$1,ROW('Benefits, Costs, Inv'!$C:$C)),ROW(15:15))),””)</f>
        <v>increase in health due to more active lifestyles with more public space</v>
      </c>
      <c r="B15" t="str" cm="1">
        <f t="array" ref="B15">IFERROR(INDEX('Benefits, Costs, Inv'!$F:$F,SMALL(IF('Benefits, Costs, Inv'!$F:$F=$A$1,ROW('Benefits, Costs, Inv'!$F:$F)),ROW(15:15)),1),””)</f>
        <v>Benefit</v>
      </c>
      <c r="C15" t="str">
        <f t="array" ref="C15">IFERROR(INDEX('Benefits, Costs, Inv'!$D:$D,SMALL(IF('Benefits, Costs, Inv'!$F:$F=$A$1,ROW('Benefits, Costs, Inv'!$D:$D)),ROW(15:15))),””)</f>
        <v>Public Space</v>
      </c>
      <c r="D15" t="str">
        <f t="array" ref="D15">IFERROR(INDEX('Benefits, Costs, Inv'!$G:$G,SMALL(IF('Benefits, Costs, Inv'!$F:$F=$A$1,ROW('Benefits, Costs, Inv'!$G:$G)),ROW(15:15))),””)</f>
        <v>Increased Income</v>
      </c>
      <c r="E15">
        <f t="array" ref="E15">IFERROR(INDEX('Benefits, Costs, Inv'!$P:$P,SMALL(IF('Benefits, Costs, Inv'!$F:$F=$A$1,ROW('Benefits, Costs, Inv'!$P:$P)),ROW(15:15))),””)</f>
        <v>16312827.41355646</v>
      </c>
    </row>
    <row r="16" spans="1:11">
      <c r="A16" t="str" cm="1">
        <f t="array" ref="A16">IFERROR(INDEX('Benefits, Costs, Inv'!$C:$C,SMALL(IF('Benefits, Costs, Inv'!$F:$F=$A$1,ROW('Benefits, Costs, Inv'!$C:$C)),ROW(16:16))),””)</f>
        <v>increase in health due to more cycling</v>
      </c>
      <c r="B16" t="str" cm="1">
        <f t="array" ref="B16">IFERROR(INDEX('Benefits, Costs, Inv'!$F:$F,SMALL(IF('Benefits, Costs, Inv'!$F:$F=$A$1,ROW('Benefits, Costs, Inv'!$F:$F)),ROW(16:16)),1),””)</f>
        <v>Benefit</v>
      </c>
      <c r="C16" t="str">
        <f t="array" ref="C16">IFERROR(INDEX('Benefits, Costs, Inv'!$D:$D,SMALL(IF('Benefits, Costs, Inv'!$F:$F=$A$1,ROW('Benefits, Costs, Inv'!$D:$D)),ROW(16:16))),””)</f>
        <v>Public Space</v>
      </c>
      <c r="D16" t="str">
        <f t="array" ref="D16">IFERROR(INDEX('Benefits, Costs, Inv'!$G:$G,SMALL(IF('Benefits, Costs, Inv'!$F:$F=$A$1,ROW('Benefits, Costs, Inv'!$G:$G)),ROW(16:16))),””)</f>
        <v>Increased Income</v>
      </c>
      <c r="E16">
        <f t="array" ref="E16">IFERROR(INDEX('Benefits, Costs, Inv'!$P:$P,SMALL(IF('Benefits, Costs, Inv'!$F:$F=$A$1,ROW('Benefits, Costs, Inv'!$P:$P)),ROW(16:16))),””)</f>
        <v>7966928.3388760006</v>
      </c>
    </row>
    <row r="17" spans="1:5">
      <c r="A17" t="str" cm="1">
        <f t="array" ref="A17">IFERROR(INDEX('Benefits, Costs, Inv'!$C:$C,SMALL(IF('Benefits, Costs, Inv'!$F:$F=$A$1,ROW('Benefits, Costs, Inv'!$C:$C)),ROW(17:17))),””)</f>
        <v>Cost avoidance from Reduction in Cars Driven on Campus</v>
      </c>
      <c r="B17" t="str" cm="1">
        <f t="array" ref="B17">IFERROR(INDEX('Benefits, Costs, Inv'!$F:$F,SMALL(IF('Benefits, Costs, Inv'!$F:$F=$A$1,ROW('Benefits, Costs, Inv'!$F:$F)),ROW(17:17)),1),””)</f>
        <v>Benefit</v>
      </c>
      <c r="C17" t="str">
        <f t="array" ref="C17">IFERROR(INDEX('Benefits, Costs, Inv'!$D:$D,SMALL(IF('Benefits, Costs, Inv'!$F:$F=$A$1,ROW('Benefits, Costs, Inv'!$D:$D)),ROW(17:17))),””)</f>
        <v>Mobility</v>
      </c>
      <c r="D17" t="str">
        <f t="array" ref="D17">IFERROR(INDEX('Benefits, Costs, Inv'!$G:$G,SMALL(IF('Benefits, Costs, Inv'!$F:$F=$A$1,ROW('Benefits, Costs, Inv'!$G:$G)),ROW(17:17))),””)</f>
        <v>Cost Saving</v>
      </c>
      <c r="E17">
        <f t="array" ref="E17">IFERROR(INDEX('Benefits, Costs, Inv'!$P:$P,SMALL(IF('Benefits, Costs, Inv'!$F:$F=$A$1,ROW('Benefits, Costs, Inv'!$P:$P)),ROW(17:17))),””)</f>
        <v>3912431.3945764019</v>
      </c>
    </row>
    <row r="18" spans="1:5">
      <c r="A18" t="str" cm="1">
        <f t="array" ref="A18">IFERROR(INDEX('Benefits, Costs, Inv'!$C:$C,SMALL(IF('Benefits, Costs, Inv'!$F:$F=$A$1,ROW('Benefits, Costs, Inv'!$C:$C)),ROW(18:18))),””)</f>
        <v>increase in social participation due to increased pubic spaces</v>
      </c>
      <c r="B18" t="str" cm="1">
        <f t="array" ref="B18">IFERROR(INDEX('Benefits, Costs, Inv'!$F:$F,SMALL(IF('Benefits, Costs, Inv'!$F:$F=$A$1,ROW('Benefits, Costs, Inv'!$F:$F)),ROW(18:18)),1),””)</f>
        <v>Benefit</v>
      </c>
      <c r="C18" t="str">
        <f t="array" ref="C18">IFERROR(INDEX('Benefits, Costs, Inv'!$D:$D,SMALL(IF('Benefits, Costs, Inv'!$F:$F=$A$1,ROW('Benefits, Costs, Inv'!$D:$D)),ROW(18:18))),””)</f>
        <v>Public Space</v>
      </c>
      <c r="D18" t="str">
        <f t="array" ref="D18">IFERROR(INDEX('Benefits, Costs, Inv'!$G:$G,SMALL(IF('Benefits, Costs, Inv'!$F:$F=$A$1,ROW('Benefits, Costs, Inv'!$G:$G)),ROW(18:18))),””)</f>
        <v>Increased Income</v>
      </c>
      <c r="E18">
        <f t="array" ref="E18">IFERROR(INDEX('Benefits, Costs, Inv'!$P:$P,SMALL(IF('Benefits, Costs, Inv'!$F:$F=$A$1,ROW('Benefits, Costs, Inv'!$P:$P)),ROW(18:18))),””)</f>
        <v>9602836.9717895985</v>
      </c>
    </row>
    <row r="19" spans="1:5">
      <c r="A19" t="str" cm="1">
        <f t="array" ref="A19">IFERROR(INDEX('Benefits, Costs, Inv'!$C:$C,SMALL(IF('Benefits, Costs, Inv'!$F:$F=$A$1,ROW('Benefits, Costs, Inv'!$C:$C)),ROW(19:19))),””)</f>
        <v>increase in social participation due to increased  connectivity</v>
      </c>
      <c r="B19" t="str" cm="1">
        <f t="array" ref="B19">IFERROR(INDEX('Benefits, Costs, Inv'!$F:$F,SMALL(IF('Benefits, Costs, Inv'!$F:$F=$A$1,ROW('Benefits, Costs, Inv'!$F:$F)),ROW(19:19)),1),””)</f>
        <v>Benefit</v>
      </c>
      <c r="C19" t="str">
        <f t="array" ref="C19">IFERROR(INDEX('Benefits, Costs, Inv'!$D:$D,SMALL(IF('Benefits, Costs, Inv'!$F:$F=$A$1,ROW('Benefits, Costs, Inv'!$D:$D)),ROW(19:19))),””)</f>
        <v>Mobility</v>
      </c>
      <c r="D19" t="str">
        <f t="array" ref="D19">IFERROR(INDEX('Benefits, Costs, Inv'!$G:$G,SMALL(IF('Benefits, Costs, Inv'!$F:$F=$A$1,ROW('Benefits, Costs, Inv'!$G:$G)),ROW(19:19))),””)</f>
        <v>Increased Income</v>
      </c>
      <c r="E19">
        <f t="array" ref="E19">IFERROR(INDEX('Benefits, Costs, Inv'!$P:$P,SMALL(IF('Benefits, Costs, Inv'!$F:$F=$A$1,ROW('Benefits, Costs, Inv'!$P:$P)),ROW(19:19))),””)</f>
        <v>27553634.150824692</v>
      </c>
    </row>
    <row r="20" spans="1:5">
      <c r="A20" t="e" cm="1">
        <f t="array" ref="A20">IFERROR(INDEX('Benefits, Costs, Inv'!$C:$C,SMALL(IF('Benefits, Costs, Inv'!$F:$F=$A$1,ROW('Benefits, Costs, Inv'!$C:$C)),ROW(20:20))),””)</f>
        <v>#NAME?</v>
      </c>
      <c r="B20" t="e" cm="1">
        <f t="array" ref="B20">IFERROR(INDEX('Benefits, Costs, Inv'!$F:$F,SMALL(IF('Benefits, Costs, Inv'!$F:$F=$A$1,ROW('Benefits, Costs, Inv'!$F:$F)),ROW(20:20)),1),””)</f>
        <v>#NAME?</v>
      </c>
      <c r="C20" t="e">
        <f t="array" ref="C20">IFERROR(INDEX('Benefits, Costs, Inv'!$D:$D,SMALL(IF('Benefits, Costs, Inv'!$F:$F=$A$1,ROW('Benefits, Costs, Inv'!$D:$D)),ROW(20:20))),””)</f>
        <v>#NAME?</v>
      </c>
      <c r="D20" t="e">
        <f t="array" ref="D20">IFERROR(INDEX('Benefits, Costs, Inv'!$G:$G,SMALL(IF('Benefits, Costs, Inv'!$F:$F=$A$1,ROW('Benefits, Costs, Inv'!$G:$G)),ROW(20:20))),””)</f>
        <v>#NAME?</v>
      </c>
      <c r="E20" t="e">
        <f t="array" ref="E20">IFERROR(INDEX('Benefits, Costs, Inv'!$P:$P,SMALL(IF('Benefits, Costs, Inv'!$F:$F=$A$1,ROW('Benefits, Costs, Inv'!$P:$P)),ROW(20:20))),””)</f>
        <v>#NAME?</v>
      </c>
    </row>
    <row r="21" spans="1:5">
      <c r="A21" t="e" cm="1">
        <f t="array" ref="A21">IFERROR(INDEX('Benefits, Costs, Inv'!$C:$C,SMALL(IF('Benefits, Costs, Inv'!$F:$F=$A$1,ROW('Benefits, Costs, Inv'!$C:$C)),ROW(21:21))),””)</f>
        <v>#NAME?</v>
      </c>
      <c r="B21" t="e" cm="1">
        <f t="array" ref="B21">IFERROR(INDEX('Benefits, Costs, Inv'!$F:$F,SMALL(IF('Benefits, Costs, Inv'!$F:$F=$A$1,ROW('Benefits, Costs, Inv'!$F:$F)),ROW(21:21)),1),””)</f>
        <v>#NAME?</v>
      </c>
      <c r="C21" t="e">
        <f t="array" ref="C21">IFERROR(INDEX('Benefits, Costs, Inv'!$D:$D,SMALL(IF('Benefits, Costs, Inv'!$F:$F=$A$1,ROW('Benefits, Costs, Inv'!$D:$D)),ROW(21:21))),””)</f>
        <v>#NAME?</v>
      </c>
      <c r="D21" t="e">
        <f t="array" ref="D21">IFERROR(INDEX('Benefits, Costs, Inv'!$G:$G,SMALL(IF('Benefits, Costs, Inv'!$F:$F=$A$1,ROW('Benefits, Costs, Inv'!$G:$G)),ROW(21:21))),””)</f>
        <v>#NAME?</v>
      </c>
      <c r="E21" t="e">
        <f t="array" ref="E21">IFERROR(INDEX('Benefits, Costs, Inv'!$P:$P,SMALL(IF('Benefits, Costs, Inv'!$F:$F=$A$1,ROW('Benefits, Costs, Inv'!$P:$P)),ROW(21:21))),””)</f>
        <v>#NAME?</v>
      </c>
    </row>
    <row r="22" spans="1:5">
      <c r="A22" t="e" cm="1">
        <f t="array" ref="A22">IFERROR(INDEX('Benefits, Costs, Inv'!$C:$C,SMALL(IF('Benefits, Costs, Inv'!$F:$F=$A$1,ROW('Benefits, Costs, Inv'!$C:$C)),ROW(22:22))),””)</f>
        <v>#NAME?</v>
      </c>
      <c r="B22" t="e" cm="1">
        <f t="array" ref="B22">IFERROR(INDEX('Benefits, Costs, Inv'!$F:$F,SMALL(IF('Benefits, Costs, Inv'!$F:$F=$A$1,ROW('Benefits, Costs, Inv'!$F:$F)),ROW(22:22)),1),””)</f>
        <v>#NAME?</v>
      </c>
      <c r="C22" t="e">
        <f t="array" ref="C22">IFERROR(INDEX('Benefits, Costs, Inv'!$D:$D,SMALL(IF('Benefits, Costs, Inv'!$F:$F=$A$1,ROW('Benefits, Costs, Inv'!$D:$D)),ROW(22:22))),””)</f>
        <v>#NAME?</v>
      </c>
      <c r="D22" t="e">
        <f t="array" ref="D22">IFERROR(INDEX('Benefits, Costs, Inv'!$G:$G,SMALL(IF('Benefits, Costs, Inv'!$F:$F=$A$1,ROW('Benefits, Costs, Inv'!$G:$G)),ROW(22:22))),””)</f>
        <v>#NAME?</v>
      </c>
      <c r="E22" t="e">
        <f t="array" ref="E22">IFERROR(INDEX('Benefits, Costs, Inv'!$P:$P,SMALL(IF('Benefits, Costs, Inv'!$F:$F=$A$1,ROW('Benefits, Costs, Inv'!$P:$P)),ROW(22:22))),””)</f>
        <v>#NAME?</v>
      </c>
    </row>
    <row r="23" spans="1:5">
      <c r="A23" t="e" cm="1">
        <f t="array" ref="A23">IFERROR(INDEX('Benefits, Costs, Inv'!$C:$C,SMALL(IF('Benefits, Costs, Inv'!$F:$F=$A$1,ROW('Benefits, Costs, Inv'!$C:$C)),ROW(23:23))),””)</f>
        <v>#NAME?</v>
      </c>
      <c r="B23" t="e" cm="1">
        <f t="array" ref="B23">IFERROR(INDEX('Benefits, Costs, Inv'!$F:$F,SMALL(IF('Benefits, Costs, Inv'!$F:$F=$A$1,ROW('Benefits, Costs, Inv'!$F:$F)),ROW(23:23)),1),””)</f>
        <v>#NAME?</v>
      </c>
      <c r="C23" t="e">
        <f t="array" ref="C23">IFERROR(INDEX('Benefits, Costs, Inv'!$D:$D,SMALL(IF('Benefits, Costs, Inv'!$F:$F=$A$1,ROW('Benefits, Costs, Inv'!$D:$D)),ROW(23:23))),””)</f>
        <v>#NAME?</v>
      </c>
      <c r="D23" t="e">
        <f t="array" ref="D23">IFERROR(INDEX('Benefits, Costs, Inv'!$G:$G,SMALL(IF('Benefits, Costs, Inv'!$F:$F=$A$1,ROW('Benefits, Costs, Inv'!$G:$G)),ROW(23:23))),””)</f>
        <v>#NAME?</v>
      </c>
      <c r="E23" t="e">
        <f t="array" ref="E23">IFERROR(INDEX('Benefits, Costs, Inv'!$P:$P,SMALL(IF('Benefits, Costs, Inv'!$F:$F=$A$1,ROW('Benefits, Costs, Inv'!$P:$P)),ROW(23:23))),””)</f>
        <v>#NAME?</v>
      </c>
    </row>
    <row r="24" spans="1:5">
      <c r="A24" t="e" cm="1">
        <f t="array" ref="A24">IFERROR(INDEX('Benefits, Costs, Inv'!$C:$C,SMALL(IF('Benefits, Costs, Inv'!$F:$F=$A$1,ROW('Benefits, Costs, Inv'!$C:$C)),ROW(24:24))),””)</f>
        <v>#NAME?</v>
      </c>
      <c r="B24" t="e" cm="1">
        <f t="array" ref="B24">IFERROR(INDEX('Benefits, Costs, Inv'!$F:$F,SMALL(IF('Benefits, Costs, Inv'!$F:$F=$A$1,ROW('Benefits, Costs, Inv'!$F:$F)),ROW(24:24)),1),””)</f>
        <v>#NAME?</v>
      </c>
      <c r="C24" t="e">
        <f t="array" ref="C24">IFERROR(INDEX('Benefits, Costs, Inv'!$D:$D,SMALL(IF('Benefits, Costs, Inv'!$F:$F=$A$1,ROW('Benefits, Costs, Inv'!$D:$D)),ROW(24:24))),””)</f>
        <v>#NAME?</v>
      </c>
      <c r="D24" t="e">
        <f t="array" ref="D24">IFERROR(INDEX('Benefits, Costs, Inv'!$G:$G,SMALL(IF('Benefits, Costs, Inv'!$F:$F=$A$1,ROW('Benefits, Costs, Inv'!$G:$G)),ROW(24:24))),””)</f>
        <v>#NAME?</v>
      </c>
      <c r="E24" t="e">
        <f t="array" ref="E24">IFERROR(INDEX('Benefits, Costs, Inv'!$P:$P,SMALL(IF('Benefits, Costs, Inv'!$F:$F=$A$1,ROW('Benefits, Costs, Inv'!$P:$P)),ROW(24:24))),””)</f>
        <v>#NAME?</v>
      </c>
    </row>
  </sheetData>
  <conditionalFormatting sqref="A1">
    <cfRule type="containsText" dxfId="2" priority="1" operator="containsText" text="Investment">
      <formula>NOT(ISERROR(SEARCH("Investment",A1)))</formula>
    </cfRule>
    <cfRule type="containsText" dxfId="1" priority="2" operator="containsText" text="Cost">
      <formula>NOT(ISERROR(SEARCH("Cost",A1)))</formula>
    </cfRule>
    <cfRule type="containsText" dxfId="0" priority="3" operator="containsText" text="Benefit">
      <formula>NOT(ISERROR(SEARCH("Benefit",A1)))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16A99CB3934048810F4C0E8738390C" ma:contentTypeVersion="16" ma:contentTypeDescription="Create a new document." ma:contentTypeScope="" ma:versionID="515bc96233105a7306c6e49484a5e479">
  <xsd:schema xmlns:xsd="http://www.w3.org/2001/XMLSchema" xmlns:xs="http://www.w3.org/2001/XMLSchema" xmlns:p="http://schemas.microsoft.com/office/2006/metadata/properties" xmlns:ns3="1e75c67f-ef19-4852-8b19-bc6513590d55" xmlns:ns4="8a710dfa-2b4c-460a-b19b-d4f256430667" targetNamespace="http://schemas.microsoft.com/office/2006/metadata/properties" ma:root="true" ma:fieldsID="73839ae3a09a56f94380dd429e8ead5c" ns3:_="" ns4:_="">
    <xsd:import namespace="1e75c67f-ef19-4852-8b19-bc6513590d55"/>
    <xsd:import namespace="8a710dfa-2b4c-460a-b19b-d4f25643066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DateTaken" minOccurs="0"/>
                <xsd:element ref="ns3:MediaServiceLocatio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5c67f-ef19-4852-8b19-bc65135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710dfa-2b4c-460a-b19b-d4f25643066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e75c67f-ef19-4852-8b19-bc6513590d55" xsi:nil="true"/>
  </documentManagement>
</p:properties>
</file>

<file path=customXml/itemProps1.xml><?xml version="1.0" encoding="utf-8"?>
<ds:datastoreItem xmlns:ds="http://schemas.openxmlformats.org/officeDocument/2006/customXml" ds:itemID="{44D54F20-0D4F-4760-A4BA-B3407AE2665B}">
  <ds:schemaRefs>
    <ds:schemaRef ds:uri="http://schemas.microsoft.com/sharepoint/v3/contenttype/forms"/>
  </ds:schemaRefs>
</ds:datastoreItem>
</file>

<file path=customXml/itemProps2.xml><?xml version="1.0" encoding="utf-8"?>
<ds:datastoreItem xmlns:ds="http://schemas.openxmlformats.org/officeDocument/2006/customXml" ds:itemID="{83DA3227-F7EE-4BEE-91CD-43C3C393F3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5c67f-ef19-4852-8b19-bc6513590d55"/>
    <ds:schemaRef ds:uri="8a710dfa-2b4c-460a-b19b-d4f2564306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41A51E-FF83-4F82-BD37-9F09266BFDCC}">
  <ds:schemaRefs>
    <ds:schemaRef ds:uri="1e75c67f-ef19-4852-8b19-bc6513590d55"/>
    <ds:schemaRef ds:uri="http://schemas.microsoft.com/office/infopath/2007/PartnerControls"/>
    <ds:schemaRef ds:uri="http://www.w3.org/XML/1998/namespace"/>
    <ds:schemaRef ds:uri="http://purl.org/dc/dcmitype/"/>
    <ds:schemaRef ds:uri="http://schemas.microsoft.com/office/2006/documentManagement/types"/>
    <ds:schemaRef ds:uri="http://schemas.openxmlformats.org/package/2006/metadata/core-properties"/>
    <ds:schemaRef ds:uri="http://schemas.microsoft.com/office/2006/metadata/properties"/>
    <ds:schemaRef ds:uri="8a710dfa-2b4c-460a-b19b-d4f256430667"/>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47</vt:i4>
      </vt:variant>
    </vt:vector>
  </HeadingPairs>
  <TitlesOfParts>
    <vt:vector size="66" baseType="lpstr">
      <vt:lpstr>Cover Sheet</vt:lpstr>
      <vt:lpstr>Financial Proxies</vt:lpstr>
      <vt:lpstr>Benefits, Costs, Inv</vt:lpstr>
      <vt:lpstr>Project Input</vt:lpstr>
      <vt:lpstr>SROI</vt:lpstr>
      <vt:lpstr>Energy</vt:lpstr>
      <vt:lpstr>Greenery</vt:lpstr>
      <vt:lpstr>Public Space</vt:lpstr>
      <vt:lpstr>Mobility</vt:lpstr>
      <vt:lpstr>Water</vt:lpstr>
      <vt:lpstr>Scenario</vt:lpstr>
      <vt:lpstr>Sensitivity</vt:lpstr>
      <vt:lpstr>Table 1</vt:lpstr>
      <vt:lpstr>Table 2</vt:lpstr>
      <vt:lpstr>Table 3</vt:lpstr>
      <vt:lpstr>Table 4</vt:lpstr>
      <vt:lpstr>References</vt:lpstr>
      <vt:lpstr>Charts</vt:lpstr>
      <vt:lpstr>Check benefits</vt:lpstr>
      <vt:lpstr>BAMK_AREA</vt:lpstr>
      <vt:lpstr>BAMK_AREA_GREENERY</vt:lpstr>
      <vt:lpstr>BAMK_TIME_SPENT</vt:lpstr>
      <vt:lpstr>BAMK_VISITS</vt:lpstr>
      <vt:lpstr>CATCHMENT_COST_PER_AREA</vt:lpstr>
      <vt:lpstr>COST_GM_GOLD_MARGINAL_PCT</vt:lpstr>
      <vt:lpstr>DECREASED_HRS_SICK_LEAVE_IMPROVED_LIGHTING</vt:lpstr>
      <vt:lpstr>DECREASED_HRS_SICK_LEAVE_IMPROVED_VIEWS</vt:lpstr>
      <vt:lpstr>EC_GM_BENCHMARK_IND</vt:lpstr>
      <vt:lpstr>EC_GM_BENCHMARK_NONRES</vt:lpstr>
      <vt:lpstr>EC_GM_BENCHMARK_RES</vt:lpstr>
      <vt:lpstr>EC_LOW_COST_COST_PREMIUM</vt:lpstr>
      <vt:lpstr>EC_LOW_COST_REDUCTION_KG_PER_M2</vt:lpstr>
      <vt:lpstr>EC_LOW_COST_REDUCTION_MAX</vt:lpstr>
      <vt:lpstr>EC_NO_COST_REDUCTION_KG_PER_M2</vt:lpstr>
      <vt:lpstr>EC_NO_COST_REDUCTION_MAX</vt:lpstr>
      <vt:lpstr>ELEC_TARIFF_GROWTH_5YR</vt:lpstr>
      <vt:lpstr>ELECTRICITY_COST_PER_KWH</vt:lpstr>
      <vt:lpstr>ELECTRICITY_TARIFF_COV</vt:lpstr>
      <vt:lpstr>GREYWATER_OP_COST_ELEC</vt:lpstr>
      <vt:lpstr>GREYWATER_TREATMENT_COST</vt:lpstr>
      <vt:lpstr>GREYWATER_TREATMENT_INSTALLATION_COST</vt:lpstr>
      <vt:lpstr>GREYWATER_TREATMENT_MAINT_COST</vt:lpstr>
      <vt:lpstr>GRID_EMISSION_FACTOR_2021</vt:lpstr>
      <vt:lpstr>INFLATION_RATE</vt:lpstr>
      <vt:lpstr>LEASING_RATE_MONTHLY_OFFICE_PSM</vt:lpstr>
      <vt:lpstr>MEDIAN_HOURLY_SALARY</vt:lpstr>
      <vt:lpstr>MEDIAN_SALARY</vt:lpstr>
      <vt:lpstr>PCT_DEC_IN_UNHAPPY_PEOPLE_PER_PCT_INC_IN_GREEN</vt:lpstr>
      <vt:lpstr>PCT_POPULATION_MENTAL_HEALTH_SYMPTOMS</vt:lpstr>
      <vt:lpstr>POP_SG</vt:lpstr>
      <vt:lpstr>PV_COST_INSTALLATION_INDUSTRIAL_BUILDING</vt:lpstr>
      <vt:lpstr>PV_COST_INSTALLATION_RES_BUILDING</vt:lpstr>
      <vt:lpstr>PV_COST_MAINT_INDUSTRIAL_BUILDING</vt:lpstr>
      <vt:lpstr>PV_COST_MAINT_RES_BUILDING</vt:lpstr>
      <vt:lpstr>PV_PEAK_POWER_PER_AREA</vt:lpstr>
      <vt:lpstr>PV_YEARLY_ENERGY_INTENSITY</vt:lpstr>
      <vt:lpstr>RAINWATER_CATCHEMENT_MAINT_COST</vt:lpstr>
      <vt:lpstr>RAINWATER_OP_COST_ELEC</vt:lpstr>
      <vt:lpstr>RAINWATER_STORAGE_COMMERCIAL_COST_CONSTR</vt:lpstr>
      <vt:lpstr>RAINWATER_STORAGE_DOMESTIC_COST_CONSTR</vt:lpstr>
      <vt:lpstr>RENTAL_PREMIUM_GM_GOLDPLAT</vt:lpstr>
      <vt:lpstr>SAVINGS_FROM_IMPROVED_MENTAL_HEALTH</vt:lpstr>
      <vt:lpstr>VALUE_OF_TIME_AS_PCT_OF_SALARY</vt:lpstr>
      <vt:lpstr>veg_value_per_kg</vt:lpstr>
      <vt:lpstr>WATER_PRICE</vt:lpstr>
      <vt:lpstr>WATER_USE_LG_BUILDING_AVG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Alakesh</dc:creator>
  <cp:keywords/>
  <dc:description/>
  <cp:lastModifiedBy>Chong Kha Lek</cp:lastModifiedBy>
  <cp:revision/>
  <dcterms:created xsi:type="dcterms:W3CDTF">2015-06-05T18:17:20Z</dcterms:created>
  <dcterms:modified xsi:type="dcterms:W3CDTF">2023-11-08T06:39:13Z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0x010100C716A99CB3934048810F4C0E8738390C</vt:lpwstr>
  </property>
</Properties>
</file>