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C:\Users\user\Desktop\Year 3 sem 2\FIN3716\"/>
    </mc:Choice>
  </mc:AlternateContent>
  <xr:revisionPtr revIDLastSave="0" documentId="13_ncr:1_{C7564BE8-8596-45F1-B6FE-A4F49A68F00B}" xr6:coauthVersionLast="47" xr6:coauthVersionMax="47" xr10:uidLastSave="{00000000-0000-0000-0000-000000000000}"/>
  <bookViews>
    <workbookView xWindow="-120" yWindow="-120" windowWidth="29040" windowHeight="15840" firstSheet="2" activeTab="3" xr2:uid="{AF670DE4-F084-4CE0-BF25-552047725C17}"/>
  </bookViews>
  <sheets>
    <sheet name="Documentation" sheetId="3" state="hidden" r:id="rId1"/>
    <sheet name="Cover Page" sheetId="15" state="hidden" r:id="rId2"/>
    <sheet name="Simu vals" sheetId="18" r:id="rId3"/>
    <sheet name="Simu rates" sheetId="19" r:id="rId4"/>
    <sheet name="Values" sheetId="1" r:id="rId5"/>
    <sheet name="Rates" sheetId="2" r:id="rId6"/>
    <sheet name="Forecast for Expenses" sheetId="14" r:id="rId7"/>
    <sheet name="SG&amp;A, R&amp;D" sheetId="11" state="hidden" r:id="rId8"/>
    <sheet name="Mobility Revenue Growth Rate" sheetId="8" state="hidden" r:id="rId9"/>
    <sheet name="Deliveries Revenue Growth Rate" sheetId="9" state="hidden" r:id="rId10"/>
    <sheet name="Financial Services Growth Rate" sheetId="13" state="hidden" r:id="rId11"/>
    <sheet name="PPE, CA, CL supporting" sheetId="7" r:id="rId12"/>
    <sheet name="WACC" sheetId="4" state="hidden" r:id="rId13"/>
    <sheet name="Alt WACC" sheetId="5" state="hidden" r:id="rId14"/>
    <sheet name="Incentives Breakdown" sheetId="6" state="hidden" r:id="rId15"/>
    <sheet name="Sheet1" sheetId="10" state="hidden" r:id="rId16"/>
  </sheets>
  <definedNames>
    <definedName name="AmortRate">Rates!$I$97:$R$97</definedName>
    <definedName name="CLTurnover">Rates!$I$121:$R$121</definedName>
    <definedName name="DeprRate">Rates!$I$96:$R$96</definedName>
    <definedName name="DivPOR">Rates!$I$109:$R$109</definedName>
    <definedName name="GenAdmRev">Rates!$I$88:$R$88</definedName>
    <definedName name="GrossMargin">Rates!$I$9:$R$9</definedName>
    <definedName name="IntangibleTurnover">Rates!$I$118:$R$118</definedName>
    <definedName name="IntRateCash">Rates!$I$102:$R$102</definedName>
    <definedName name="IntRateDebt">Rates!$I$103:$R$103</definedName>
    <definedName name="InventoryTurnover">Rates!$I$113:$R$113</definedName>
    <definedName name="MarketingRev">Rates!$I$87:$R$87</definedName>
    <definedName name="PPETurnover">Rates!$I$117:$R$117</definedName>
    <definedName name="ReceivablesTurnover">Rates!$I$114:$R$114</definedName>
    <definedName name="ResearchRev">Rates!$I$89:$R$89</definedName>
    <definedName name="Revenue">Values!$I$3:$R$3</definedName>
    <definedName name="RevGrowthDel">Rates!$I$4:$R$4</definedName>
    <definedName name="RevGrowthEnt">Rates!$I$7:$R$7</definedName>
    <definedName name="RevGrowthFin">Rates!$I$6:$R$6</definedName>
    <definedName name="RevGrowthMob">Rates!$I$5:$R$5</definedName>
    <definedName name="solver_adj" localSheetId="5" hidden="1">Rates!$B$10</definedName>
    <definedName name="solver_cvg" localSheetId="5" hidden="1">0.0001</definedName>
    <definedName name="solver_drv" localSheetId="5" hidden="1">2</definedName>
    <definedName name="solver_eng" localSheetId="5" hidden="1">1</definedName>
    <definedName name="solver_est" localSheetId="5" hidden="1">1</definedName>
    <definedName name="solver_itr" localSheetId="5" hidden="1">2147483647</definedName>
    <definedName name="solver_lhs1" localSheetId="5" hidden="1">Rates!$B$10</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2</definedName>
    <definedName name="solver_nod" localSheetId="5" hidden="1">2147483647</definedName>
    <definedName name="solver_num" localSheetId="5" hidden="1">1</definedName>
    <definedName name="solver_nwt" localSheetId="5" hidden="1">1</definedName>
    <definedName name="solver_opt" localSheetId="5" hidden="1">Rates!$R$9</definedName>
    <definedName name="solver_pre" localSheetId="5" hidden="1">0.000001</definedName>
    <definedName name="solver_rbv" localSheetId="5" hidden="1">2</definedName>
    <definedName name="solver_rel1" localSheetId="5" hidden="1">3</definedName>
    <definedName name="solver_rhs1" localSheetId="5" hidden="1">0</definedName>
    <definedName name="solver_rlx" localSheetId="5" hidden="1">2</definedName>
    <definedName name="solver_rsd" localSheetId="5" hidden="1">0</definedName>
    <definedName name="solver_scl" localSheetId="5" hidden="1">2</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3</definedName>
    <definedName name="solver_val" localSheetId="5" hidden="1">0.75</definedName>
    <definedName name="solver_ver" localSheetId="5" hidden="1">3</definedName>
    <definedName name="TaxRate">Rates!$I$107:$R$107</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4" i="18" l="1"/>
  <c r="B102" i="18"/>
  <c r="K27" i="19"/>
  <c r="L27" i="19" s="1"/>
  <c r="M27" i="19" s="1"/>
  <c r="N27" i="19" s="1"/>
  <c r="O27" i="19" s="1"/>
  <c r="P27" i="19" s="1"/>
  <c r="Q27" i="19" s="1"/>
  <c r="R27" i="19" s="1"/>
  <c r="J27" i="19"/>
  <c r="R23" i="18"/>
  <c r="Q23" i="18"/>
  <c r="P23" i="18"/>
  <c r="O23" i="18"/>
  <c r="N23" i="18"/>
  <c r="M23" i="18"/>
  <c r="L23" i="18"/>
  <c r="K23" i="18"/>
  <c r="J23" i="18"/>
  <c r="I23" i="18"/>
  <c r="H17" i="18"/>
  <c r="R62" i="18"/>
  <c r="Q62" i="18"/>
  <c r="P62" i="18"/>
  <c r="O62" i="18"/>
  <c r="N62" i="18"/>
  <c r="M62" i="18"/>
  <c r="L62" i="18"/>
  <c r="K62" i="18"/>
  <c r="J62" i="18"/>
  <c r="I62" i="18"/>
  <c r="G11" i="18"/>
  <c r="F11" i="18"/>
  <c r="E11" i="18"/>
  <c r="D11" i="18"/>
  <c r="C11" i="18"/>
  <c r="B11" i="18"/>
  <c r="I2" i="18"/>
  <c r="J2" i="18" s="1"/>
  <c r="K2" i="18" s="1"/>
  <c r="K4" i="18" s="1"/>
  <c r="G3" i="18"/>
  <c r="F3" i="18"/>
  <c r="E3" i="18"/>
  <c r="D3" i="18"/>
  <c r="C3" i="18"/>
  <c r="B3" i="18"/>
  <c r="K42" i="18" l="1"/>
  <c r="J43" i="18"/>
  <c r="K43" i="18"/>
  <c r="I42" i="18"/>
  <c r="I43" i="18"/>
  <c r="J42" i="18"/>
  <c r="J48" i="18" s="1"/>
  <c r="I37" i="18"/>
  <c r="J37" i="18"/>
  <c r="K37" i="18"/>
  <c r="K7" i="18"/>
  <c r="K11" i="18" s="1"/>
  <c r="I4" i="18"/>
  <c r="J4" i="18"/>
  <c r="J7" i="18"/>
  <c r="K3" i="18"/>
  <c r="I7" i="18"/>
  <c r="H7" i="18" s="1"/>
  <c r="L2" i="18"/>
  <c r="H2" i="18"/>
  <c r="K36" i="18" l="1"/>
  <c r="K57" i="18"/>
  <c r="I48" i="18"/>
  <c r="K48" i="18"/>
  <c r="L37" i="18"/>
  <c r="L43" i="18"/>
  <c r="L42" i="18"/>
  <c r="J11" i="18"/>
  <c r="I11" i="18"/>
  <c r="L7" i="18"/>
  <c r="L4" i="18"/>
  <c r="H4" i="18"/>
  <c r="H11" i="18" s="1"/>
  <c r="J3" i="18"/>
  <c r="M2" i="18"/>
  <c r="L48" i="18" l="1"/>
  <c r="K35" i="18"/>
  <c r="K40" i="18" s="1"/>
  <c r="K49" i="18" s="1"/>
  <c r="L11" i="18"/>
  <c r="J36" i="18"/>
  <c r="J57" i="18"/>
  <c r="K86" i="18" s="1"/>
  <c r="K64" i="18"/>
  <c r="M37" i="18"/>
  <c r="M43" i="18"/>
  <c r="M42" i="18"/>
  <c r="L3" i="18"/>
  <c r="H3" i="18"/>
  <c r="M7" i="18"/>
  <c r="M4" i="18"/>
  <c r="M3" i="18" s="1"/>
  <c r="N2" i="18"/>
  <c r="M48" i="18" l="1"/>
  <c r="J64" i="18"/>
  <c r="J35" i="18"/>
  <c r="K22" i="18" s="1"/>
  <c r="L36" i="18"/>
  <c r="L57" i="18"/>
  <c r="M36" i="18"/>
  <c r="M57" i="18"/>
  <c r="K85" i="18"/>
  <c r="N37" i="18"/>
  <c r="N42" i="18"/>
  <c r="N43" i="18"/>
  <c r="M11" i="18"/>
  <c r="N7" i="18"/>
  <c r="N4" i="18"/>
  <c r="O2" i="18"/>
  <c r="M35" i="18" l="1"/>
  <c r="N48" i="18"/>
  <c r="J40" i="18"/>
  <c r="J49" i="18" s="1"/>
  <c r="L86" i="18"/>
  <c r="L64" i="18"/>
  <c r="L85" i="18"/>
  <c r="L35" i="18"/>
  <c r="L40" i="18" s="1"/>
  <c r="L49" i="18" s="1"/>
  <c r="M86" i="18"/>
  <c r="M64" i="18"/>
  <c r="N11" i="18"/>
  <c r="M40" i="18"/>
  <c r="M49" i="18" s="1"/>
  <c r="M85" i="18"/>
  <c r="O37" i="18"/>
  <c r="O43" i="18"/>
  <c r="O42" i="18"/>
  <c r="O48" i="18" s="1"/>
  <c r="N3" i="18"/>
  <c r="O7" i="18"/>
  <c r="O4" i="18"/>
  <c r="P2" i="18"/>
  <c r="M22" i="18" l="1"/>
  <c r="L22" i="18"/>
  <c r="N36" i="18"/>
  <c r="N57" i="18"/>
  <c r="P37" i="18"/>
  <c r="P43" i="18"/>
  <c r="P42" i="18"/>
  <c r="P48" i="18" s="1"/>
  <c r="O11" i="18"/>
  <c r="O3" i="18"/>
  <c r="P7" i="18"/>
  <c r="P4" i="18"/>
  <c r="P3" i="18" s="1"/>
  <c r="Q2" i="18"/>
  <c r="N85" i="18" l="1"/>
  <c r="N35" i="18"/>
  <c r="N86" i="18"/>
  <c r="N64" i="18"/>
  <c r="O36" i="18"/>
  <c r="O57" i="18"/>
  <c r="P36" i="18"/>
  <c r="P57" i="18"/>
  <c r="Q37" i="18"/>
  <c r="Q43" i="18"/>
  <c r="Q42" i="18"/>
  <c r="P11" i="18"/>
  <c r="Q7" i="18"/>
  <c r="Q4" i="18"/>
  <c r="Q3" i="18" s="1"/>
  <c r="R2" i="18"/>
  <c r="Q48" i="18" l="1"/>
  <c r="Q36" i="18"/>
  <c r="Q57" i="18"/>
  <c r="N22" i="18"/>
  <c r="Q35" i="18"/>
  <c r="P86" i="18"/>
  <c r="P64" i="18"/>
  <c r="N40" i="18"/>
  <c r="N49" i="18" s="1"/>
  <c r="O86" i="18"/>
  <c r="O64" i="18"/>
  <c r="O85" i="18"/>
  <c r="O35" i="18"/>
  <c r="O22" i="18" s="1"/>
  <c r="P85" i="18"/>
  <c r="P35" i="18"/>
  <c r="Q22" i="18" s="1"/>
  <c r="R37" i="18"/>
  <c r="R43" i="18"/>
  <c r="R42" i="18"/>
  <c r="Q11" i="18"/>
  <c r="R7" i="18"/>
  <c r="R4" i="18"/>
  <c r="R3" i="18" s="1"/>
  <c r="P40" i="18" l="1"/>
  <c r="P49" i="18" s="1"/>
  <c r="R36" i="18"/>
  <c r="R57" i="18"/>
  <c r="Q86" i="18"/>
  <c r="Q64" i="18"/>
  <c r="P22" i="18"/>
  <c r="O40" i="18"/>
  <c r="O49" i="18" s="1"/>
  <c r="Q40" i="18"/>
  <c r="Q49" i="18" s="1"/>
  <c r="Q85" i="18"/>
  <c r="R48" i="18"/>
  <c r="R11" i="18"/>
  <c r="R35" i="18" l="1"/>
  <c r="R22" i="18" s="1"/>
  <c r="R86" i="18"/>
  <c r="R64" i="18"/>
  <c r="R40" i="18"/>
  <c r="R49" i="18" s="1"/>
  <c r="R85" i="18"/>
  <c r="G13" i="14" l="1"/>
  <c r="H13" i="14" s="1"/>
  <c r="I13" i="14" s="1"/>
  <c r="J13" i="14" s="1"/>
  <c r="K13" i="14" s="1"/>
  <c r="L13" i="14" s="1"/>
  <c r="M13" i="14" s="1"/>
  <c r="N13" i="14" s="1"/>
  <c r="B97" i="1"/>
  <c r="U194" i="2"/>
  <c r="U164" i="2"/>
  <c r="U192" i="2"/>
  <c r="V189" i="2"/>
  <c r="W189" i="2"/>
  <c r="X189" i="2"/>
  <c r="Y189" i="2"/>
  <c r="Z189" i="2"/>
  <c r="AA189" i="2"/>
  <c r="AB189" i="2"/>
  <c r="AC189" i="2"/>
  <c r="AD189" i="2"/>
  <c r="U189" i="2"/>
  <c r="U190" i="2"/>
  <c r="U178" i="2"/>
  <c r="T137" i="2"/>
  <c r="T140" i="2"/>
  <c r="T141" i="2"/>
  <c r="T142" i="2"/>
  <c r="T139" i="2"/>
  <c r="C7" i="5"/>
  <c r="C8" i="5"/>
  <c r="C19" i="5"/>
  <c r="C21" i="5" s="1"/>
  <c r="C178" i="7"/>
  <c r="C179" i="7" s="1"/>
  <c r="K83" i="13"/>
  <c r="K84" i="13" s="1"/>
  <c r="K85" i="13" s="1"/>
  <c r="K86" i="13" s="1"/>
  <c r="K87" i="13" s="1"/>
  <c r="K88" i="13" s="1"/>
  <c r="K89" i="13" s="1"/>
  <c r="K90" i="13" s="1"/>
  <c r="B95" i="13"/>
  <c r="B96" i="13" s="1"/>
  <c r="B97" i="13" s="1"/>
  <c r="B98" i="13" s="1"/>
  <c r="B99" i="13" s="1"/>
  <c r="B100" i="13" s="1"/>
  <c r="B101" i="13" s="1"/>
  <c r="B102" i="13" s="1"/>
  <c r="B103" i="13" s="1"/>
  <c r="F98" i="13"/>
  <c r="F101" i="13" s="1"/>
  <c r="D95" i="13" s="1"/>
  <c r="J83" i="13"/>
  <c r="J84" i="13" s="1"/>
  <c r="J85" i="13" s="1"/>
  <c r="J86" i="13" s="1"/>
  <c r="J87" i="13" s="1"/>
  <c r="J88" i="13" s="1"/>
  <c r="J89" i="13" s="1"/>
  <c r="J90" i="13" s="1"/>
  <c r="J91" i="13" s="1"/>
  <c r="F82" i="13"/>
  <c r="E83" i="13"/>
  <c r="E84" i="13" s="1"/>
  <c r="E85" i="13" s="1"/>
  <c r="E86" i="13" s="1"/>
  <c r="E87" i="13" s="1"/>
  <c r="E88" i="13" s="1"/>
  <c r="E89" i="13" s="1"/>
  <c r="E90" i="13" s="1"/>
  <c r="E91" i="13" s="1"/>
  <c r="E77" i="13"/>
  <c r="E78" i="13" s="1"/>
  <c r="E80" i="13" s="1"/>
  <c r="F83" i="13" s="1"/>
  <c r="F84" i="13" s="1"/>
  <c r="F85" i="13" s="1"/>
  <c r="F86" i="13" s="1"/>
  <c r="F87" i="13" s="1"/>
  <c r="F88" i="13" s="1"/>
  <c r="F89" i="13" s="1"/>
  <c r="F90" i="13" s="1"/>
  <c r="F91" i="13" s="1"/>
  <c r="D54" i="13"/>
  <c r="D55" i="13" s="1"/>
  <c r="D56" i="13" s="1"/>
  <c r="D57" i="13" s="1"/>
  <c r="D58" i="13" s="1"/>
  <c r="D59" i="13" s="1"/>
  <c r="D60" i="13" s="1"/>
  <c r="D61" i="13" s="1"/>
  <c r="D62" i="13" s="1"/>
  <c r="D63" i="13" s="1"/>
  <c r="C10" i="6"/>
  <c r="I36" i="9"/>
  <c r="B109" i="1"/>
  <c r="E29" i="8"/>
  <c r="C30" i="8"/>
  <c r="D26" i="8" s="1"/>
  <c r="F26" i="8" s="1"/>
  <c r="D36" i="9"/>
  <c r="E36" i="9" s="1"/>
  <c r="F36" i="9" s="1"/>
  <c r="G36" i="9" s="1"/>
  <c r="J121" i="2"/>
  <c r="K121" i="2" s="1"/>
  <c r="L121" i="2" s="1"/>
  <c r="M121" i="2" s="1"/>
  <c r="N121" i="2" s="1"/>
  <c r="O121" i="2" s="1"/>
  <c r="P121" i="2" s="1"/>
  <c r="Q121" i="2" s="1"/>
  <c r="R121" i="2" s="1"/>
  <c r="I73" i="1"/>
  <c r="B9" i="1"/>
  <c r="B6" i="14" s="1"/>
  <c r="C9" i="1"/>
  <c r="C6" i="14" s="1"/>
  <c r="D9" i="1"/>
  <c r="E9" i="1"/>
  <c r="E6" i="14" s="1"/>
  <c r="F9" i="1"/>
  <c r="F6" i="14" s="1"/>
  <c r="G9" i="1"/>
  <c r="G6" i="14" s="1"/>
  <c r="J132" i="7"/>
  <c r="J131" i="7"/>
  <c r="J130" i="7"/>
  <c r="J129" i="7"/>
  <c r="J128" i="7"/>
  <c r="J110" i="7"/>
  <c r="J109" i="7"/>
  <c r="J108" i="7"/>
  <c r="J107" i="7"/>
  <c r="J105" i="7"/>
  <c r="Y24" i="14"/>
  <c r="M103" i="7"/>
  <c r="L103" i="7"/>
  <c r="K103" i="7"/>
  <c r="M102" i="7"/>
  <c r="L102" i="7"/>
  <c r="K102" i="7"/>
  <c r="M101" i="7"/>
  <c r="L101" i="7"/>
  <c r="K101" i="7"/>
  <c r="M100" i="7"/>
  <c r="L100" i="7"/>
  <c r="K100" i="7"/>
  <c r="K98" i="7"/>
  <c r="K97" i="7"/>
  <c r="K96" i="7"/>
  <c r="K95" i="7"/>
  <c r="M93" i="7"/>
  <c r="L93" i="7"/>
  <c r="K93" i="7"/>
  <c r="M92" i="7"/>
  <c r="L92" i="7"/>
  <c r="K92" i="7"/>
  <c r="M91" i="7"/>
  <c r="L91" i="7"/>
  <c r="K91" i="7"/>
  <c r="M90" i="7"/>
  <c r="L90" i="7"/>
  <c r="K90" i="7"/>
  <c r="J103" i="7"/>
  <c r="J102" i="7"/>
  <c r="J101" i="7"/>
  <c r="J100" i="7"/>
  <c r="J99" i="7"/>
  <c r="J98" i="7"/>
  <c r="J97" i="7"/>
  <c r="J96" i="7"/>
  <c r="J95" i="7"/>
  <c r="J94" i="7"/>
  <c r="J93" i="7"/>
  <c r="J92" i="7"/>
  <c r="J91" i="7"/>
  <c r="J90" i="7"/>
  <c r="J88" i="7"/>
  <c r="L36" i="7"/>
  <c r="J37" i="7"/>
  <c r="J36" i="7"/>
  <c r="J35" i="7"/>
  <c r="J34" i="7"/>
  <c r="J33" i="7"/>
  <c r="J32" i="7"/>
  <c r="J31" i="7"/>
  <c r="J30" i="7"/>
  <c r="J29" i="7"/>
  <c r="J27" i="7"/>
  <c r="J22" i="7"/>
  <c r="M17" i="7"/>
  <c r="L17" i="7"/>
  <c r="K17" i="7"/>
  <c r="M21" i="7"/>
  <c r="L21" i="7"/>
  <c r="K21" i="7"/>
  <c r="M20" i="7"/>
  <c r="L20" i="7"/>
  <c r="K20" i="7"/>
  <c r="M19" i="7"/>
  <c r="L19" i="7"/>
  <c r="K19" i="7"/>
  <c r="M18" i="7"/>
  <c r="L18" i="7"/>
  <c r="K18" i="7"/>
  <c r="J21" i="7"/>
  <c r="J20" i="7"/>
  <c r="J19" i="7"/>
  <c r="J18" i="7"/>
  <c r="J16" i="7"/>
  <c r="AD132" i="2"/>
  <c r="AD138" i="2" s="1"/>
  <c r="AC132" i="2"/>
  <c r="AC138" i="2" s="1"/>
  <c r="AB132" i="2"/>
  <c r="AB138" i="2" s="1"/>
  <c r="AA132" i="2"/>
  <c r="AA138" i="2" s="1"/>
  <c r="Z132" i="2"/>
  <c r="Z138" i="2" s="1"/>
  <c r="Y132" i="2"/>
  <c r="Y138" i="2" s="1"/>
  <c r="X132" i="2"/>
  <c r="X138" i="2" s="1"/>
  <c r="W132" i="2"/>
  <c r="W138" i="2" s="1"/>
  <c r="V132" i="2"/>
  <c r="V138" i="2" s="1"/>
  <c r="T136" i="2"/>
  <c r="T135" i="2"/>
  <c r="T134" i="2"/>
  <c r="T133" i="2"/>
  <c r="T131" i="2"/>
  <c r="U132" i="2"/>
  <c r="U138" i="2" s="1"/>
  <c r="J75" i="7"/>
  <c r="J74" i="7"/>
  <c r="J73" i="7"/>
  <c r="J72" i="7"/>
  <c r="M71" i="7"/>
  <c r="L71" i="7"/>
  <c r="K71" i="7"/>
  <c r="J70" i="7"/>
  <c r="J69" i="7"/>
  <c r="J68" i="7"/>
  <c r="J67" i="7"/>
  <c r="J66" i="7"/>
  <c r="J65" i="7"/>
  <c r="J63" i="7"/>
  <c r="W26" i="14"/>
  <c r="Z26" i="14"/>
  <c r="Y26" i="14"/>
  <c r="W25" i="14"/>
  <c r="Z25" i="14"/>
  <c r="Y25" i="14"/>
  <c r="W24" i="14"/>
  <c r="Z24" i="14"/>
  <c r="C47" i="11"/>
  <c r="D47" i="11"/>
  <c r="E47" i="11"/>
  <c r="B48" i="11"/>
  <c r="B50" i="11"/>
  <c r="C42" i="11"/>
  <c r="D42" i="11"/>
  <c r="E42" i="11"/>
  <c r="F42" i="11"/>
  <c r="G42" i="11"/>
  <c r="H42" i="11"/>
  <c r="I42" i="11"/>
  <c r="B43" i="11"/>
  <c r="B44" i="11"/>
  <c r="D102" i="2"/>
  <c r="C11" i="7"/>
  <c r="B25" i="7"/>
  <c r="B12" i="11"/>
  <c r="B13" i="11"/>
  <c r="C13" i="11"/>
  <c r="F13" i="11"/>
  <c r="G13" i="11"/>
  <c r="H13" i="11"/>
  <c r="I13" i="11"/>
  <c r="F19" i="9"/>
  <c r="J19" i="9"/>
  <c r="D60" i="2"/>
  <c r="F10" i="6"/>
  <c r="E5" i="14" s="1"/>
  <c r="B65" i="13" a="1"/>
  <c r="B65" i="13" s="1"/>
  <c r="G36" i="13"/>
  <c r="H36" i="13"/>
  <c r="I36" i="13"/>
  <c r="J36" i="13"/>
  <c r="D45" i="13" s="1"/>
  <c r="K36" i="13"/>
  <c r="L36" i="13"/>
  <c r="M36" i="13"/>
  <c r="N36" i="13"/>
  <c r="H45" i="13" s="1"/>
  <c r="O36" i="13"/>
  <c r="J45" i="13" s="1"/>
  <c r="G37" i="13"/>
  <c r="H37" i="13"/>
  <c r="I37" i="13"/>
  <c r="J37" i="13"/>
  <c r="K37" i="13"/>
  <c r="L37" i="13"/>
  <c r="M37" i="13"/>
  <c r="G46" i="13" s="1"/>
  <c r="N37" i="13"/>
  <c r="O37" i="13"/>
  <c r="J46" i="13" s="1"/>
  <c r="G38" i="13"/>
  <c r="H38" i="13"/>
  <c r="I38" i="13"/>
  <c r="J38" i="13"/>
  <c r="K38" i="13"/>
  <c r="L38" i="13"/>
  <c r="F47" i="13" s="1"/>
  <c r="M38" i="13"/>
  <c r="N38" i="13"/>
  <c r="O38" i="13"/>
  <c r="J47" i="13" s="1"/>
  <c r="G39" i="13"/>
  <c r="H39" i="13"/>
  <c r="I39" i="13"/>
  <c r="J39" i="13"/>
  <c r="K39" i="13"/>
  <c r="E48" i="13" s="1"/>
  <c r="L39" i="13"/>
  <c r="M39" i="13"/>
  <c r="N39" i="13"/>
  <c r="O39" i="13"/>
  <c r="J48" i="13" s="1"/>
  <c r="G40" i="13"/>
  <c r="H40" i="13"/>
  <c r="I40" i="13"/>
  <c r="J40" i="13"/>
  <c r="D49" i="13" s="1"/>
  <c r="K40" i="13"/>
  <c r="L40" i="13"/>
  <c r="M40" i="13"/>
  <c r="N40" i="13"/>
  <c r="O40" i="13"/>
  <c r="J49" i="13" s="1"/>
  <c r="H35" i="13"/>
  <c r="I35" i="13"/>
  <c r="J35" i="13"/>
  <c r="D44" i="13" s="1"/>
  <c r="K35" i="13"/>
  <c r="L35" i="13"/>
  <c r="M35" i="13"/>
  <c r="N35" i="13"/>
  <c r="O35" i="13"/>
  <c r="G35" i="13"/>
  <c r="C56" i="9"/>
  <c r="E15" i="9"/>
  <c r="E16" i="9" s="1"/>
  <c r="I14" i="2" s="1"/>
  <c r="F15" i="9"/>
  <c r="G15" i="9"/>
  <c r="H15" i="9"/>
  <c r="I15" i="9"/>
  <c r="J15" i="9"/>
  <c r="D15" i="9"/>
  <c r="G24" i="9"/>
  <c r="H24" i="9"/>
  <c r="I24" i="9"/>
  <c r="J24" i="9"/>
  <c r="G25" i="9"/>
  <c r="H25" i="9"/>
  <c r="I25" i="9"/>
  <c r="J25" i="9"/>
  <c r="F25" i="9"/>
  <c r="F24" i="9"/>
  <c r="F21" i="9"/>
  <c r="D9" i="6"/>
  <c r="F20" i="9"/>
  <c r="C57" i="9"/>
  <c r="D6" i="14"/>
  <c r="B80" i="1"/>
  <c r="C80" i="1" s="1"/>
  <c r="J27" i="2"/>
  <c r="K27" i="2" s="1"/>
  <c r="L27" i="2" s="1"/>
  <c r="M27" i="2" s="1"/>
  <c r="N27" i="2" s="1"/>
  <c r="O27" i="2" s="1"/>
  <c r="P27" i="2" s="1"/>
  <c r="Q27" i="2" s="1"/>
  <c r="R27" i="2" s="1"/>
  <c r="B5" i="1"/>
  <c r="B58" i="7" s="1"/>
  <c r="D165" i="7"/>
  <c r="D163" i="7" s="1"/>
  <c r="C165" i="7"/>
  <c r="C163" i="7" s="1"/>
  <c r="B165" i="7"/>
  <c r="B164" i="7" s="1"/>
  <c r="D159" i="7"/>
  <c r="C159" i="7"/>
  <c r="B159" i="7"/>
  <c r="D160" i="7"/>
  <c r="C160" i="7"/>
  <c r="B160" i="7"/>
  <c r="C47" i="5"/>
  <c r="D44" i="5" s="1"/>
  <c r="G46" i="5"/>
  <c r="E46" i="5"/>
  <c r="G45" i="5"/>
  <c r="E45" i="5"/>
  <c r="G44" i="5"/>
  <c r="H44" i="5" s="1"/>
  <c r="K44" i="5" s="1"/>
  <c r="C39" i="5"/>
  <c r="D36" i="5" s="1"/>
  <c r="G38" i="5"/>
  <c r="H38" i="5" s="1"/>
  <c r="K38" i="5" s="1"/>
  <c r="G37" i="5"/>
  <c r="H37" i="5" s="1"/>
  <c r="K37" i="5" s="1"/>
  <c r="G36" i="5"/>
  <c r="H36" i="5" s="1"/>
  <c r="K36" i="5" s="1"/>
  <c r="C31" i="5"/>
  <c r="D28" i="5" s="1"/>
  <c r="G30" i="5"/>
  <c r="H30" i="5" s="1"/>
  <c r="K30" i="5" s="1"/>
  <c r="G29" i="5"/>
  <c r="E29" i="5"/>
  <c r="G28" i="5"/>
  <c r="H28" i="5" s="1"/>
  <c r="K28" i="5" s="1"/>
  <c r="G12" i="5"/>
  <c r="H11" i="5" s="1"/>
  <c r="J11" i="5"/>
  <c r="I11" i="5"/>
  <c r="I8" i="5"/>
  <c r="I7" i="5"/>
  <c r="B3" i="4"/>
  <c r="A170" i="2"/>
  <c r="A169" i="2"/>
  <c r="A168" i="2"/>
  <c r="A167" i="2"/>
  <c r="A176" i="2"/>
  <c r="A175" i="2"/>
  <c r="A174" i="2"/>
  <c r="A173" i="2"/>
  <c r="J25" i="6"/>
  <c r="K25" i="6"/>
  <c r="L25" i="6"/>
  <c r="M25" i="6"/>
  <c r="N25" i="6"/>
  <c r="O25" i="6"/>
  <c r="P25" i="6"/>
  <c r="Q25" i="6"/>
  <c r="R25" i="6"/>
  <c r="S25" i="6"/>
  <c r="J22" i="6"/>
  <c r="J16" i="6"/>
  <c r="I25" i="6"/>
  <c r="I22" i="6"/>
  <c r="I19" i="6"/>
  <c r="I16" i="6"/>
  <c r="F42" i="6"/>
  <c r="H37" i="6"/>
  <c r="G37" i="6"/>
  <c r="F37" i="6"/>
  <c r="H36" i="6"/>
  <c r="G36" i="6"/>
  <c r="F36" i="6"/>
  <c r="H35" i="6"/>
  <c r="G35" i="6"/>
  <c r="F35" i="6"/>
  <c r="H10" i="6"/>
  <c r="G5" i="14" s="1"/>
  <c r="G10" i="6"/>
  <c r="F5" i="14" s="1"/>
  <c r="E10" i="6"/>
  <c r="D5" i="14" s="1"/>
  <c r="D10" i="6"/>
  <c r="C5" i="14" s="1"/>
  <c r="B5" i="14"/>
  <c r="F45" i="6"/>
  <c r="F44" i="6"/>
  <c r="H45" i="6"/>
  <c r="G45" i="6"/>
  <c r="H44" i="6"/>
  <c r="G44" i="6"/>
  <c r="H43" i="6"/>
  <c r="G43" i="6"/>
  <c r="F43" i="6"/>
  <c r="H42" i="6"/>
  <c r="G42" i="6"/>
  <c r="B8" i="1"/>
  <c r="B61" i="7" s="1"/>
  <c r="B139" i="7" s="1"/>
  <c r="B7" i="1"/>
  <c r="B60" i="7" s="1"/>
  <c r="B138" i="7" s="1"/>
  <c r="B6" i="1"/>
  <c r="B59" i="7" s="1"/>
  <c r="B137" i="7" s="1"/>
  <c r="V10" i="6"/>
  <c r="W10" i="6"/>
  <c r="X10" i="6"/>
  <c r="Y10" i="6"/>
  <c r="Z10" i="6"/>
  <c r="AA10" i="6"/>
  <c r="G19" i="9"/>
  <c r="H19" i="9"/>
  <c r="I19" i="9"/>
  <c r="G20" i="9"/>
  <c r="H20" i="9"/>
  <c r="I20" i="9"/>
  <c r="J20" i="9"/>
  <c r="G21" i="9"/>
  <c r="H21" i="9"/>
  <c r="I21" i="9"/>
  <c r="J21" i="9"/>
  <c r="F22" i="9"/>
  <c r="G22" i="9"/>
  <c r="H22" i="9"/>
  <c r="I22" i="9"/>
  <c r="J22" i="9"/>
  <c r="F23" i="9"/>
  <c r="G23" i="9"/>
  <c r="H23" i="9"/>
  <c r="I23" i="9"/>
  <c r="J23" i="9"/>
  <c r="G61" i="7"/>
  <c r="G139" i="7" s="1"/>
  <c r="F61" i="7"/>
  <c r="F139" i="7" s="1"/>
  <c r="E61" i="7"/>
  <c r="E139" i="7" s="1"/>
  <c r="G60" i="7"/>
  <c r="G138" i="7" s="1"/>
  <c r="F60" i="7"/>
  <c r="F138" i="7" s="1"/>
  <c r="E60" i="7"/>
  <c r="E138" i="7" s="1"/>
  <c r="G59" i="7"/>
  <c r="G137" i="7" s="1"/>
  <c r="F59" i="7"/>
  <c r="E59" i="7"/>
  <c r="E137" i="7" s="1"/>
  <c r="G58" i="7"/>
  <c r="G136" i="7" s="1"/>
  <c r="F58" i="7"/>
  <c r="F136" i="7" s="1"/>
  <c r="E58" i="7"/>
  <c r="E136" i="7" s="1"/>
  <c r="G68" i="7"/>
  <c r="F68" i="7"/>
  <c r="F146" i="7" s="1"/>
  <c r="E68" i="7"/>
  <c r="E146" i="7" s="1"/>
  <c r="G67" i="7"/>
  <c r="G145" i="7" s="1"/>
  <c r="F67" i="7"/>
  <c r="F145" i="7" s="1"/>
  <c r="E67" i="7"/>
  <c r="E145" i="7" s="1"/>
  <c r="G66" i="7"/>
  <c r="G144" i="7" s="1"/>
  <c r="F66" i="7"/>
  <c r="F144" i="7" s="1"/>
  <c r="E66" i="7"/>
  <c r="E144" i="7" s="1"/>
  <c r="F65" i="7"/>
  <c r="F143" i="7" s="1"/>
  <c r="G65" i="7"/>
  <c r="G143" i="7" s="1"/>
  <c r="D68" i="7"/>
  <c r="D146" i="7" s="1"/>
  <c r="C68" i="7"/>
  <c r="C146" i="7" s="1"/>
  <c r="B68" i="7"/>
  <c r="B146" i="7" s="1"/>
  <c r="D67" i="7"/>
  <c r="D145" i="7" s="1"/>
  <c r="C67" i="7"/>
  <c r="C145" i="7" s="1"/>
  <c r="B67" i="7"/>
  <c r="B145" i="7" s="1"/>
  <c r="D66" i="7"/>
  <c r="D144" i="7" s="1"/>
  <c r="C66" i="7"/>
  <c r="C144" i="7" s="1"/>
  <c r="B66" i="7"/>
  <c r="B144" i="7" s="1"/>
  <c r="D65" i="7"/>
  <c r="D143" i="7" s="1"/>
  <c r="C65" i="7"/>
  <c r="C143" i="7" s="1"/>
  <c r="B65" i="7"/>
  <c r="B143" i="7" s="1"/>
  <c r="E65" i="7"/>
  <c r="E143" i="7" s="1"/>
  <c r="D61" i="7"/>
  <c r="D139" i="7" s="1"/>
  <c r="C61" i="7"/>
  <c r="C139" i="7" s="1"/>
  <c r="D60" i="7"/>
  <c r="D138" i="7" s="1"/>
  <c r="C60" i="7"/>
  <c r="C138" i="7" s="1"/>
  <c r="D59" i="7"/>
  <c r="D137" i="7" s="1"/>
  <c r="C59" i="7"/>
  <c r="C137" i="7" s="1"/>
  <c r="D58" i="7"/>
  <c r="D136" i="7" s="1"/>
  <c r="C58" i="7"/>
  <c r="C3" i="9"/>
  <c r="M8" i="9" s="1"/>
  <c r="I13" i="8"/>
  <c r="J13" i="8"/>
  <c r="K13" i="8"/>
  <c r="K15" i="8" s="1"/>
  <c r="K15" i="2" s="1"/>
  <c r="L13" i="8"/>
  <c r="L15" i="8" s="1"/>
  <c r="L15" i="2" s="1"/>
  <c r="M13" i="8"/>
  <c r="N13" i="8"/>
  <c r="O13" i="8"/>
  <c r="P13" i="8"/>
  <c r="Q13" i="8"/>
  <c r="R13" i="8"/>
  <c r="H13" i="8"/>
  <c r="D50" i="2"/>
  <c r="D120" i="7"/>
  <c r="D127" i="7" s="1"/>
  <c r="C120" i="7"/>
  <c r="C127" i="7" s="1"/>
  <c r="D119" i="7"/>
  <c r="D126" i="7" s="1"/>
  <c r="C119" i="7"/>
  <c r="C126" i="7" s="1"/>
  <c r="D118" i="7"/>
  <c r="D125" i="7" s="1"/>
  <c r="C118" i="7"/>
  <c r="C125" i="7" s="1"/>
  <c r="D117" i="7"/>
  <c r="D124" i="7" s="1"/>
  <c r="C117" i="7"/>
  <c r="C124" i="7" s="1"/>
  <c r="D17" i="2"/>
  <c r="D113" i="7"/>
  <c r="D155" i="2" s="1"/>
  <c r="I155" i="2" s="1"/>
  <c r="J155" i="2" s="1"/>
  <c r="K155" i="2" s="1"/>
  <c r="L155" i="2" s="1"/>
  <c r="M155" i="2" s="1"/>
  <c r="N155" i="2" s="1"/>
  <c r="O155" i="2" s="1"/>
  <c r="P155" i="2" s="1"/>
  <c r="Q155" i="2" s="1"/>
  <c r="R155" i="2" s="1"/>
  <c r="C113" i="7"/>
  <c r="C155" i="2" s="1"/>
  <c r="B113" i="7"/>
  <c r="B155" i="2" s="1"/>
  <c r="D112" i="7"/>
  <c r="D154" i="2" s="1"/>
  <c r="C112" i="7"/>
  <c r="C154" i="2" s="1"/>
  <c r="B112" i="7"/>
  <c r="B154" i="2" s="1"/>
  <c r="D111" i="7"/>
  <c r="D153" i="2" s="1"/>
  <c r="C111" i="7"/>
  <c r="C153" i="2" s="1"/>
  <c r="B111" i="7"/>
  <c r="B153" i="2" s="1"/>
  <c r="D110" i="7"/>
  <c r="M107" i="7" s="1"/>
  <c r="C110" i="7"/>
  <c r="L107" i="7" s="1"/>
  <c r="B110" i="7"/>
  <c r="K107" i="7" s="1"/>
  <c r="D107" i="7"/>
  <c r="C107" i="7"/>
  <c r="B107" i="7"/>
  <c r="D99" i="7"/>
  <c r="M98" i="7" s="1"/>
  <c r="C99" i="7"/>
  <c r="L98" i="7" s="1"/>
  <c r="D98" i="7"/>
  <c r="M97" i="7" s="1"/>
  <c r="C98" i="7"/>
  <c r="L97" i="7" s="1"/>
  <c r="D97" i="7"/>
  <c r="M96" i="7" s="1"/>
  <c r="C97" i="7"/>
  <c r="L96" i="7" s="1"/>
  <c r="C96" i="7"/>
  <c r="L95" i="7" s="1"/>
  <c r="D96" i="7"/>
  <c r="M95" i="7" s="1"/>
  <c r="D93" i="7"/>
  <c r="C93" i="7"/>
  <c r="B93" i="7"/>
  <c r="C17" i="2"/>
  <c r="K50" i="2"/>
  <c r="B63" i="2"/>
  <c r="D42" i="7"/>
  <c r="D49" i="7" s="1"/>
  <c r="M32" i="7" s="1"/>
  <c r="C42" i="7"/>
  <c r="C49" i="7" s="1"/>
  <c r="L32" i="7" s="1"/>
  <c r="D41" i="7"/>
  <c r="D48" i="7" s="1"/>
  <c r="M31" i="7" s="1"/>
  <c r="C41" i="7"/>
  <c r="C48" i="7" s="1"/>
  <c r="L31" i="7" s="1"/>
  <c r="D40" i="7"/>
  <c r="D47" i="7" s="1"/>
  <c r="M30" i="7" s="1"/>
  <c r="C40" i="7"/>
  <c r="L24" i="7" s="1"/>
  <c r="D39" i="7"/>
  <c r="D46" i="7" s="1"/>
  <c r="M29" i="7" s="1"/>
  <c r="C39" i="7"/>
  <c r="C46" i="7" s="1"/>
  <c r="L29" i="7" s="1"/>
  <c r="D36" i="7"/>
  <c r="C36" i="7"/>
  <c r="B36" i="7"/>
  <c r="D28" i="7"/>
  <c r="C28" i="7"/>
  <c r="B28" i="7"/>
  <c r="D27" i="7"/>
  <c r="C27" i="7"/>
  <c r="B27" i="7"/>
  <c r="D26" i="7"/>
  <c r="C26" i="7"/>
  <c r="B26" i="7"/>
  <c r="D25" i="7"/>
  <c r="C25" i="7"/>
  <c r="D22" i="7"/>
  <c r="C22" i="7"/>
  <c r="B22" i="7"/>
  <c r="B15" i="7"/>
  <c r="D14" i="7"/>
  <c r="C14" i="7"/>
  <c r="D13" i="7"/>
  <c r="C13" i="7"/>
  <c r="D12" i="7"/>
  <c r="C12" i="7"/>
  <c r="D11" i="7"/>
  <c r="C8" i="7"/>
  <c r="D8" i="7"/>
  <c r="B8" i="7"/>
  <c r="D29" i="2"/>
  <c r="E37" i="6" s="1"/>
  <c r="E5" i="2"/>
  <c r="F5" i="2"/>
  <c r="G5" i="2"/>
  <c r="C65" i="6"/>
  <c r="C21" i="6" s="1"/>
  <c r="D65" i="6"/>
  <c r="D21" i="6" s="1"/>
  <c r="E65" i="6"/>
  <c r="E21" i="6" s="1"/>
  <c r="C66" i="6"/>
  <c r="C24" i="6" s="1"/>
  <c r="D66" i="6"/>
  <c r="D24" i="6" s="1"/>
  <c r="E66" i="6"/>
  <c r="E24" i="6" s="1"/>
  <c r="C67" i="6"/>
  <c r="D67" i="6"/>
  <c r="E67" i="6"/>
  <c r="D64" i="6"/>
  <c r="E64" i="6"/>
  <c r="C64" i="6"/>
  <c r="D59" i="6"/>
  <c r="D26" i="6" s="1"/>
  <c r="E59" i="6"/>
  <c r="C59" i="6"/>
  <c r="D58" i="6"/>
  <c r="D23" i="6" s="1"/>
  <c r="E58" i="6"/>
  <c r="E23" i="6" s="1"/>
  <c r="C58" i="6"/>
  <c r="C23" i="6" s="1"/>
  <c r="D57" i="6"/>
  <c r="D20" i="6" s="1"/>
  <c r="E57" i="6"/>
  <c r="E20" i="6" s="1"/>
  <c r="C57" i="6"/>
  <c r="C20" i="6" s="1"/>
  <c r="D56" i="6"/>
  <c r="E56" i="6"/>
  <c r="C56" i="6"/>
  <c r="D46" i="6"/>
  <c r="E46" i="6"/>
  <c r="C46" i="6"/>
  <c r="H38" i="6"/>
  <c r="G38" i="6"/>
  <c r="F38" i="6"/>
  <c r="C9" i="6"/>
  <c r="E9" i="6"/>
  <c r="F9" i="6"/>
  <c r="G9" i="6"/>
  <c r="H9" i="6"/>
  <c r="G35" i="2"/>
  <c r="F35" i="2"/>
  <c r="G34" i="2"/>
  <c r="F34" i="2"/>
  <c r="G33" i="2"/>
  <c r="F33" i="2"/>
  <c r="E36" i="2"/>
  <c r="E35" i="2"/>
  <c r="E34" i="2"/>
  <c r="E33" i="2"/>
  <c r="H70" i="2"/>
  <c r="G69" i="2"/>
  <c r="F69" i="2"/>
  <c r="E69" i="2"/>
  <c r="E43" i="2" s="1"/>
  <c r="E50" i="2" s="1"/>
  <c r="G68" i="2"/>
  <c r="G55" i="2" s="1"/>
  <c r="F68" i="2"/>
  <c r="F42" i="2" s="1"/>
  <c r="E68" i="2"/>
  <c r="E42" i="2" s="1"/>
  <c r="G67" i="2"/>
  <c r="G41" i="2" s="1"/>
  <c r="F67" i="2"/>
  <c r="F54" i="2" s="1"/>
  <c r="E67" i="2"/>
  <c r="E54" i="2" s="1"/>
  <c r="G66" i="2"/>
  <c r="G53" i="2" s="1"/>
  <c r="F66" i="2"/>
  <c r="F40" i="2" s="1"/>
  <c r="E66" i="2"/>
  <c r="E40" i="2" s="1"/>
  <c r="I3" i="8" l="1"/>
  <c r="Q15" i="8"/>
  <c r="Q15" i="2" s="1"/>
  <c r="G30" i="9"/>
  <c r="H26" i="9"/>
  <c r="O15" i="8"/>
  <c r="O15" i="2" s="1"/>
  <c r="R15" i="8"/>
  <c r="R15" i="2" s="1"/>
  <c r="J15" i="8"/>
  <c r="J15" i="2" s="1"/>
  <c r="I32" i="9"/>
  <c r="B49" i="13"/>
  <c r="D47" i="13"/>
  <c r="E46" i="13"/>
  <c r="F45" i="13"/>
  <c r="L28" i="5"/>
  <c r="I15" i="8"/>
  <c r="I15" i="2" s="1"/>
  <c r="D48" i="13"/>
  <c r="D25" i="8"/>
  <c r="F25" i="8" s="1"/>
  <c r="P15" i="8"/>
  <c r="P15" i="2" s="1"/>
  <c r="F51" i="6"/>
  <c r="N15" i="8"/>
  <c r="N15" i="2" s="1"/>
  <c r="C9" i="5"/>
  <c r="C20" i="5" s="1"/>
  <c r="M15" i="8"/>
  <c r="M15" i="2" s="1"/>
  <c r="I27" i="9"/>
  <c r="F49" i="6"/>
  <c r="F56" i="6" s="1"/>
  <c r="F17" i="6" s="1"/>
  <c r="L41" i="13"/>
  <c r="F49" i="13"/>
  <c r="W27" i="14"/>
  <c r="X25" i="14" s="1"/>
  <c r="D81" i="7"/>
  <c r="D132" i="7"/>
  <c r="K131" i="7" s="1"/>
  <c r="L44" i="5"/>
  <c r="D47" i="5"/>
  <c r="D46" i="5"/>
  <c r="L36" i="5"/>
  <c r="D31" i="5"/>
  <c r="D30" i="5"/>
  <c r="L30" i="5" s="1"/>
  <c r="D45" i="5"/>
  <c r="D29" i="5"/>
  <c r="D39" i="5"/>
  <c r="D38" i="5"/>
  <c r="L38" i="5" s="1"/>
  <c r="D37" i="5"/>
  <c r="L37" i="5" s="1"/>
  <c r="C17" i="6"/>
  <c r="F50" i="6"/>
  <c r="E49" i="13"/>
  <c r="F48" i="13"/>
  <c r="G47" i="13"/>
  <c r="H46" i="13"/>
  <c r="D30" i="8"/>
  <c r="D29" i="8"/>
  <c r="F29" i="8" s="1"/>
  <c r="D28" i="8"/>
  <c r="F28" i="8" s="1"/>
  <c r="N41" i="13"/>
  <c r="D27" i="8"/>
  <c r="F27" i="8" s="1"/>
  <c r="F52" i="6"/>
  <c r="H31" i="9"/>
  <c r="I30" i="9"/>
  <c r="F26" i="9"/>
  <c r="H32" i="9"/>
  <c r="F44" i="13"/>
  <c r="I26" i="9"/>
  <c r="E17" i="6"/>
  <c r="I41" i="13"/>
  <c r="G45" i="13"/>
  <c r="G41" i="13"/>
  <c r="H29" i="5"/>
  <c r="K29" i="5" s="1"/>
  <c r="D164" i="7"/>
  <c r="D169" i="7" s="1"/>
  <c r="I44" i="13"/>
  <c r="B48" i="13"/>
  <c r="C47" i="13"/>
  <c r="D46" i="13"/>
  <c r="E45" i="13"/>
  <c r="U7" i="9"/>
  <c r="R9" i="9" s="1"/>
  <c r="H45" i="5"/>
  <c r="K45" i="5" s="1"/>
  <c r="G44" i="13"/>
  <c r="G49" i="13"/>
  <c r="H48" i="13"/>
  <c r="B46" i="13"/>
  <c r="C45" i="13"/>
  <c r="L108" i="7"/>
  <c r="M108" i="7"/>
  <c r="K109" i="7"/>
  <c r="M23" i="7"/>
  <c r="L109" i="7"/>
  <c r="M109" i="7"/>
  <c r="L23" i="7"/>
  <c r="M26" i="7"/>
  <c r="K110" i="7"/>
  <c r="L110" i="7"/>
  <c r="K108" i="7"/>
  <c r="M110" i="7"/>
  <c r="M24" i="7"/>
  <c r="L25" i="7"/>
  <c r="M25" i="7"/>
  <c r="L26" i="7"/>
  <c r="M67" i="7"/>
  <c r="M65" i="7"/>
  <c r="K66" i="7"/>
  <c r="K68" i="7"/>
  <c r="L66" i="7"/>
  <c r="L68" i="7"/>
  <c r="M66" i="7"/>
  <c r="M68" i="7"/>
  <c r="K65" i="7"/>
  <c r="K67" i="7"/>
  <c r="L65" i="7"/>
  <c r="L67" i="7"/>
  <c r="B29" i="7"/>
  <c r="D55" i="7"/>
  <c r="B3" i="1"/>
  <c r="B4" i="1" s="1"/>
  <c r="C164" i="7"/>
  <c r="C169" i="7" s="1"/>
  <c r="F32" i="9"/>
  <c r="H46" i="5"/>
  <c r="K46" i="5" s="1"/>
  <c r="H7" i="5"/>
  <c r="H9" i="5"/>
  <c r="H12" i="5"/>
  <c r="H10" i="5"/>
  <c r="H8" i="5"/>
  <c r="D133" i="7"/>
  <c r="P170" i="2" s="1"/>
  <c r="G31" i="9"/>
  <c r="F30" i="9"/>
  <c r="Q8" i="9"/>
  <c r="C4" i="2"/>
  <c r="E44" i="13"/>
  <c r="B44" i="13"/>
  <c r="K41" i="13"/>
  <c r="J41" i="13"/>
  <c r="H49" i="13"/>
  <c r="B47" i="13"/>
  <c r="H41" i="13"/>
  <c r="M41" i="13"/>
  <c r="G48" i="13"/>
  <c r="H47" i="13"/>
  <c r="B45" i="13"/>
  <c r="O41" i="13"/>
  <c r="C49" i="13"/>
  <c r="C48" i="13"/>
  <c r="C46" i="13"/>
  <c r="C44" i="13"/>
  <c r="I48" i="13"/>
  <c r="I47" i="13"/>
  <c r="I46" i="13"/>
  <c r="I45" i="13"/>
  <c r="I49" i="13"/>
  <c r="J44" i="13"/>
  <c r="H44" i="13"/>
  <c r="F46" i="13"/>
  <c r="E47" i="13"/>
  <c r="H30" i="9"/>
  <c r="M12" i="9"/>
  <c r="Q11" i="9" s="1"/>
  <c r="G32" i="9"/>
  <c r="I31" i="9"/>
  <c r="F31" i="9"/>
  <c r="M14" i="9"/>
  <c r="Q12" i="9" s="1"/>
  <c r="F29" i="9"/>
  <c r="G28" i="9"/>
  <c r="H27" i="9"/>
  <c r="C4" i="9"/>
  <c r="I16" i="9"/>
  <c r="I29" i="9"/>
  <c r="H16" i="9"/>
  <c r="L14" i="2" s="1"/>
  <c r="F16" i="9"/>
  <c r="J14" i="2" s="1"/>
  <c r="G27" i="9"/>
  <c r="F27" i="9"/>
  <c r="G29" i="9"/>
  <c r="H28" i="9"/>
  <c r="J16" i="9"/>
  <c r="F28" i="9"/>
  <c r="G26" i="9"/>
  <c r="D168" i="7"/>
  <c r="C168" i="7"/>
  <c r="B169" i="7"/>
  <c r="B163" i="7"/>
  <c r="B168" i="7" s="1"/>
  <c r="D130" i="7"/>
  <c r="D131" i="7"/>
  <c r="M175" i="2"/>
  <c r="D52" i="7"/>
  <c r="H5" i="2"/>
  <c r="F62" i="7"/>
  <c r="F140" i="7" s="1"/>
  <c r="E62" i="7"/>
  <c r="E140" i="7" s="1"/>
  <c r="G62" i="7"/>
  <c r="G140" i="7" s="1"/>
  <c r="C62" i="7"/>
  <c r="C140" i="7" s="1"/>
  <c r="C81" i="7"/>
  <c r="D62" i="7"/>
  <c r="D140" i="7" s="1"/>
  <c r="C136" i="7"/>
  <c r="F137" i="7"/>
  <c r="F15" i="6"/>
  <c r="D18" i="6"/>
  <c r="D17" i="6"/>
  <c r="C18" i="6"/>
  <c r="E18" i="6"/>
  <c r="G52" i="6"/>
  <c r="G67" i="6" s="1"/>
  <c r="G27" i="6" s="1"/>
  <c r="H52" i="6"/>
  <c r="H59" i="6" s="1"/>
  <c r="H26" i="6" s="1"/>
  <c r="H50" i="6"/>
  <c r="H65" i="6" s="1"/>
  <c r="H21" i="6" s="1"/>
  <c r="F66" i="6"/>
  <c r="F24" i="6" s="1"/>
  <c r="B62" i="7"/>
  <c r="B140" i="7" s="1"/>
  <c r="B136" i="7"/>
  <c r="B81" i="7"/>
  <c r="G69" i="7"/>
  <c r="G147" i="7" s="1"/>
  <c r="G146" i="7"/>
  <c r="H29" i="9"/>
  <c r="G16" i="9"/>
  <c r="J13" i="11"/>
  <c r="E69" i="7"/>
  <c r="E147" i="7" s="1"/>
  <c r="I28" i="9"/>
  <c r="D74" i="7"/>
  <c r="B74" i="7"/>
  <c r="C68" i="6"/>
  <c r="F69" i="7"/>
  <c r="F147" i="7" s="1"/>
  <c r="C69" i="7"/>
  <c r="L69" i="7" s="1"/>
  <c r="D69" i="7"/>
  <c r="M69" i="7" s="1"/>
  <c r="B69" i="7"/>
  <c r="K69" i="7" s="1"/>
  <c r="C74" i="7"/>
  <c r="M11" i="9"/>
  <c r="M10" i="9"/>
  <c r="D121" i="7"/>
  <c r="C114" i="7"/>
  <c r="C121" i="7"/>
  <c r="B114" i="7"/>
  <c r="D114" i="7"/>
  <c r="C29" i="7"/>
  <c r="C43" i="7"/>
  <c r="C47" i="7"/>
  <c r="D43" i="7"/>
  <c r="D29" i="7"/>
  <c r="D15" i="7"/>
  <c r="C15" i="7"/>
  <c r="E60" i="6"/>
  <c r="C60" i="6"/>
  <c r="D60" i="6"/>
  <c r="E68" i="6"/>
  <c r="D68" i="6"/>
  <c r="E27" i="6"/>
  <c r="E26" i="6"/>
  <c r="F14" i="6"/>
  <c r="D27" i="6"/>
  <c r="G49" i="6"/>
  <c r="G13" i="6" s="1"/>
  <c r="G51" i="6"/>
  <c r="G15" i="6" s="1"/>
  <c r="H49" i="6"/>
  <c r="H13" i="6" s="1"/>
  <c r="G50" i="6"/>
  <c r="G14" i="6" s="1"/>
  <c r="H51" i="6"/>
  <c r="H15" i="6" s="1"/>
  <c r="F39" i="6"/>
  <c r="G39" i="6"/>
  <c r="H39" i="6"/>
  <c r="H46" i="6"/>
  <c r="F46" i="6"/>
  <c r="G46" i="6"/>
  <c r="E41" i="2"/>
  <c r="E37" i="2"/>
  <c r="G42" i="2"/>
  <c r="E53" i="2"/>
  <c r="E60" i="2" s="1"/>
  <c r="F53" i="2"/>
  <c r="E55" i="2"/>
  <c r="F55" i="2"/>
  <c r="G40" i="2"/>
  <c r="E56" i="2"/>
  <c r="E63" i="2" s="1"/>
  <c r="F41" i="2"/>
  <c r="G54" i="2"/>
  <c r="E70" i="2"/>
  <c r="F70" i="2"/>
  <c r="G70" i="2"/>
  <c r="F30" i="8" l="1"/>
  <c r="J50" i="13"/>
  <c r="F13" i="6"/>
  <c r="G50" i="13"/>
  <c r="F64" i="6"/>
  <c r="F18" i="6" s="1"/>
  <c r="F50" i="13"/>
  <c r="Q169" i="2"/>
  <c r="B50" i="13"/>
  <c r="I169" i="2"/>
  <c r="X24" i="14"/>
  <c r="X26" i="14"/>
  <c r="K170" i="2"/>
  <c r="L169" i="2"/>
  <c r="M169" i="2"/>
  <c r="J169" i="2"/>
  <c r="N169" i="2"/>
  <c r="O169" i="2"/>
  <c r="R169" i="2"/>
  <c r="P169" i="2"/>
  <c r="K169" i="2"/>
  <c r="Q170" i="2"/>
  <c r="O170" i="2"/>
  <c r="L46" i="5"/>
  <c r="L45" i="5"/>
  <c r="L29" i="5"/>
  <c r="L31" i="5" s="1"/>
  <c r="D50" i="13"/>
  <c r="J103" i="2"/>
  <c r="R103" i="2"/>
  <c r="K103" i="2"/>
  <c r="I103" i="2"/>
  <c r="L103" i="2"/>
  <c r="M103" i="2"/>
  <c r="N103" i="2"/>
  <c r="P103" i="2"/>
  <c r="O103" i="2"/>
  <c r="Q103" i="2"/>
  <c r="J12" i="5" a="1"/>
  <c r="J12" i="5" s="1"/>
  <c r="R12" i="9"/>
  <c r="K13" i="11"/>
  <c r="R8" i="9"/>
  <c r="K14" i="2"/>
  <c r="L13" i="11" s="1"/>
  <c r="M13" i="11"/>
  <c r="M14" i="2"/>
  <c r="N13" i="11" s="1"/>
  <c r="B60" i="14"/>
  <c r="C43" i="11" s="1"/>
  <c r="B10" i="1"/>
  <c r="B9" i="2" s="1"/>
  <c r="B24" i="14"/>
  <c r="U5" i="11" s="1"/>
  <c r="Y28" i="14" a="1"/>
  <c r="Y28" i="14" s="1"/>
  <c r="Z28" i="14" a="1"/>
  <c r="Z28" i="14" s="1"/>
  <c r="R11" i="9"/>
  <c r="R10" i="9"/>
  <c r="M167" i="2"/>
  <c r="K129" i="7"/>
  <c r="N168" i="2"/>
  <c r="K130" i="7"/>
  <c r="M170" i="2"/>
  <c r="K132" i="7"/>
  <c r="I170" i="2"/>
  <c r="R170" i="2"/>
  <c r="J170" i="2"/>
  <c r="L170" i="2"/>
  <c r="N170" i="2"/>
  <c r="P176" i="2"/>
  <c r="L37" i="7"/>
  <c r="D53" i="7"/>
  <c r="L174" i="2" s="1"/>
  <c r="L30" i="7"/>
  <c r="L173" i="2"/>
  <c r="L34" i="7"/>
  <c r="D136" i="2"/>
  <c r="M74" i="7"/>
  <c r="C136" i="2"/>
  <c r="L74" i="7"/>
  <c r="B136" i="2"/>
  <c r="K74" i="7"/>
  <c r="I175" i="2"/>
  <c r="M176" i="2"/>
  <c r="J176" i="2"/>
  <c r="K176" i="2"/>
  <c r="Q176" i="2"/>
  <c r="O176" i="2"/>
  <c r="N176" i="2"/>
  <c r="I176" i="2"/>
  <c r="K175" i="2"/>
  <c r="L176" i="2"/>
  <c r="R176" i="2"/>
  <c r="B3" i="14"/>
  <c r="B42" i="14"/>
  <c r="U17" i="11" s="1"/>
  <c r="B173" i="7"/>
  <c r="K186" i="2" s="1"/>
  <c r="J30" i="9"/>
  <c r="K23" i="9" s="1"/>
  <c r="K12" i="9" s="1"/>
  <c r="L39" i="5"/>
  <c r="I12" i="5" a="1"/>
  <c r="I12" i="5" s="1"/>
  <c r="C13" i="5" s="1"/>
  <c r="I168" i="2"/>
  <c r="B172" i="7"/>
  <c r="I185" i="2" s="1"/>
  <c r="M168" i="2"/>
  <c r="P168" i="2"/>
  <c r="J31" i="9"/>
  <c r="I50" i="13"/>
  <c r="E50" i="13"/>
  <c r="C50" i="13"/>
  <c r="H50" i="13"/>
  <c r="J32" i="9"/>
  <c r="K32" i="9" s="1"/>
  <c r="N12" i="9"/>
  <c r="N14" i="9"/>
  <c r="J29" i="9"/>
  <c r="K29" i="9" s="1"/>
  <c r="N10" i="9"/>
  <c r="J27" i="9"/>
  <c r="K20" i="9" s="1"/>
  <c r="K9" i="9" s="1"/>
  <c r="J28" i="9"/>
  <c r="Q9" i="9"/>
  <c r="J26" i="9"/>
  <c r="K19" i="9" s="1"/>
  <c r="K8" i="9" s="1"/>
  <c r="N8" i="9"/>
  <c r="O168" i="2"/>
  <c r="O167" i="2"/>
  <c r="L167" i="2"/>
  <c r="P167" i="2"/>
  <c r="N167" i="2"/>
  <c r="I167" i="2"/>
  <c r="Q167" i="2"/>
  <c r="Q168" i="2"/>
  <c r="K167" i="2"/>
  <c r="L168" i="2"/>
  <c r="O175" i="2"/>
  <c r="P175" i="2"/>
  <c r="R167" i="2"/>
  <c r="K168" i="2"/>
  <c r="N175" i="2"/>
  <c r="J168" i="2"/>
  <c r="R175" i="2"/>
  <c r="J175" i="2"/>
  <c r="J167" i="2"/>
  <c r="R168" i="2"/>
  <c r="L175" i="2"/>
  <c r="P173" i="2"/>
  <c r="K173" i="2"/>
  <c r="R173" i="2"/>
  <c r="J173" i="2"/>
  <c r="Q175" i="2"/>
  <c r="N173" i="2"/>
  <c r="I173" i="2"/>
  <c r="O173" i="2"/>
  <c r="Q173" i="2"/>
  <c r="M173" i="2"/>
  <c r="D79" i="7"/>
  <c r="C80" i="7"/>
  <c r="C82" i="7"/>
  <c r="C79" i="7"/>
  <c r="D80" i="7"/>
  <c r="D82" i="7"/>
  <c r="F58" i="6"/>
  <c r="F23" i="6" s="1"/>
  <c r="G59" i="6"/>
  <c r="G26" i="6" s="1"/>
  <c r="H67" i="6"/>
  <c r="H27" i="6" s="1"/>
  <c r="H57" i="6"/>
  <c r="H14" i="6"/>
  <c r="B82" i="7"/>
  <c r="B80" i="7"/>
  <c r="B79" i="7"/>
  <c r="B73" i="7"/>
  <c r="B147" i="7"/>
  <c r="D75" i="7"/>
  <c r="D147" i="7"/>
  <c r="C73" i="7"/>
  <c r="C147" i="7"/>
  <c r="D73" i="7"/>
  <c r="C75" i="7"/>
  <c r="D72" i="7"/>
  <c r="C72" i="7"/>
  <c r="B72" i="7"/>
  <c r="B75" i="7"/>
  <c r="N11" i="9"/>
  <c r="Q10" i="9"/>
  <c r="C26" i="6"/>
  <c r="E74" i="6"/>
  <c r="H66" i="6"/>
  <c r="H24" i="6" s="1"/>
  <c r="H58" i="6"/>
  <c r="H23" i="6" s="1"/>
  <c r="F53" i="6"/>
  <c r="F57" i="6"/>
  <c r="F20" i="6" s="1"/>
  <c r="F65" i="6"/>
  <c r="F21" i="6" s="1"/>
  <c r="F59" i="6"/>
  <c r="F26" i="6" s="1"/>
  <c r="F67" i="6"/>
  <c r="F27" i="6" s="1"/>
  <c r="G64" i="6"/>
  <c r="G18" i="6" s="1"/>
  <c r="G53" i="6"/>
  <c r="G68" i="6" s="1"/>
  <c r="G56" i="6"/>
  <c r="G17" i="6" s="1"/>
  <c r="G65" i="6"/>
  <c r="G21" i="6" s="1"/>
  <c r="G57" i="6"/>
  <c r="G20" i="6" s="1"/>
  <c r="H64" i="6"/>
  <c r="H18" i="6" s="1"/>
  <c r="H53" i="6"/>
  <c r="H68" i="6" s="1"/>
  <c r="H56" i="6"/>
  <c r="G66" i="6"/>
  <c r="G24" i="6" s="1"/>
  <c r="G58" i="6"/>
  <c r="G23" i="6" s="1"/>
  <c r="J60" i="2"/>
  <c r="K60" i="2" s="1"/>
  <c r="L60" i="2" s="1"/>
  <c r="M60" i="2" s="1"/>
  <c r="N60" i="2" s="1"/>
  <c r="O60" i="2" s="1"/>
  <c r="P60" i="2" s="1"/>
  <c r="Q60" i="2" s="1"/>
  <c r="R60" i="2" s="1"/>
  <c r="L50" i="2"/>
  <c r="M50" i="2" s="1"/>
  <c r="N50" i="2" s="1"/>
  <c r="O50" i="2" s="1"/>
  <c r="P50" i="2" s="1"/>
  <c r="Q50" i="2" s="1"/>
  <c r="R50" i="2" s="1"/>
  <c r="J49" i="2"/>
  <c r="K49" i="2" s="1"/>
  <c r="L49" i="2" s="1"/>
  <c r="M49" i="2" s="1"/>
  <c r="N49" i="2" s="1"/>
  <c r="O49" i="2" s="1"/>
  <c r="P49" i="2" s="1"/>
  <c r="Q49" i="2" s="1"/>
  <c r="R49" i="2" s="1"/>
  <c r="F30" i="2"/>
  <c r="F36" i="2" s="1"/>
  <c r="F37" i="2" s="1"/>
  <c r="G62" i="2"/>
  <c r="F62" i="2"/>
  <c r="E62" i="2"/>
  <c r="G61" i="2"/>
  <c r="F61" i="2"/>
  <c r="E48" i="2"/>
  <c r="G47" i="2"/>
  <c r="F47" i="2"/>
  <c r="G77" i="2"/>
  <c r="E77" i="2"/>
  <c r="G24" i="2"/>
  <c r="D178" i="7" s="1"/>
  <c r="D179" i="7" s="1"/>
  <c r="E24" i="2"/>
  <c r="B178" i="7" s="1"/>
  <c r="B179" i="7" s="1"/>
  <c r="I59" i="1"/>
  <c r="J59" i="1" s="1"/>
  <c r="K59" i="1" s="1"/>
  <c r="L59" i="1" s="1"/>
  <c r="M59" i="1" s="1"/>
  <c r="N59" i="1" s="1"/>
  <c r="O59" i="1" s="1"/>
  <c r="P59" i="1" s="1"/>
  <c r="Q59" i="1" s="1"/>
  <c r="R59" i="1" s="1"/>
  <c r="I57" i="1"/>
  <c r="J57" i="1" s="1"/>
  <c r="K57" i="1" s="1"/>
  <c r="L57" i="1" s="1"/>
  <c r="M57" i="1" s="1"/>
  <c r="N57" i="1" s="1"/>
  <c r="O57" i="1" s="1"/>
  <c r="P57" i="1" s="1"/>
  <c r="Q57" i="1" s="1"/>
  <c r="R57" i="1" s="1"/>
  <c r="K174" i="2" l="1"/>
  <c r="N174" i="2"/>
  <c r="M174" i="2"/>
  <c r="L47" i="5"/>
  <c r="U33" i="11"/>
  <c r="Y32" i="14"/>
  <c r="Y34" i="14" s="1"/>
  <c r="K22" i="9"/>
  <c r="L22" i="9" s="1"/>
  <c r="P174" i="2"/>
  <c r="I186" i="2"/>
  <c r="E179" i="7"/>
  <c r="K195" i="2" s="1"/>
  <c r="I136" i="2"/>
  <c r="U135" i="2" s="1"/>
  <c r="L186" i="2"/>
  <c r="P186" i="2"/>
  <c r="J186" i="2"/>
  <c r="B4" i="14"/>
  <c r="B7" i="14" s="1"/>
  <c r="K34" i="14"/>
  <c r="N14" i="2"/>
  <c r="O13" i="11" s="1"/>
  <c r="J36" i="9"/>
  <c r="P185" i="2"/>
  <c r="K30" i="9"/>
  <c r="L23" i="9" s="1"/>
  <c r="L12" i="9" s="1"/>
  <c r="N185" i="2"/>
  <c r="Q185" i="2"/>
  <c r="U8" i="9"/>
  <c r="M9" i="9" s="1"/>
  <c r="J185" i="2"/>
  <c r="O174" i="2"/>
  <c r="Q174" i="2"/>
  <c r="O186" i="2"/>
  <c r="P136" i="2"/>
  <c r="AB135" i="2" s="1"/>
  <c r="K136" i="2"/>
  <c r="W135" i="2" s="1"/>
  <c r="J136" i="2"/>
  <c r="V135" i="2" s="1"/>
  <c r="R174" i="2"/>
  <c r="L35" i="7"/>
  <c r="I174" i="2"/>
  <c r="J174" i="2"/>
  <c r="Q136" i="2"/>
  <c r="AC135" i="2" s="1"/>
  <c r="M136" i="2"/>
  <c r="Y135" i="2" s="1"/>
  <c r="N136" i="2"/>
  <c r="Z135" i="2" s="1"/>
  <c r="O136" i="2"/>
  <c r="AA135" i="2" s="1"/>
  <c r="R136" i="2"/>
  <c r="AD135" i="2" s="1"/>
  <c r="B137" i="2"/>
  <c r="K75" i="7"/>
  <c r="D135" i="2"/>
  <c r="M73" i="7"/>
  <c r="B135" i="2"/>
  <c r="K73" i="7"/>
  <c r="C135" i="2"/>
  <c r="L73" i="7"/>
  <c r="D134" i="2"/>
  <c r="M72" i="7"/>
  <c r="D137" i="2"/>
  <c r="M75" i="7"/>
  <c r="L136" i="2"/>
  <c r="X135" i="2" s="1"/>
  <c r="B134" i="2"/>
  <c r="K72" i="7"/>
  <c r="C134" i="2"/>
  <c r="L72" i="7"/>
  <c r="C137" i="2"/>
  <c r="L75" i="7"/>
  <c r="R185" i="2"/>
  <c r="L185" i="2"/>
  <c r="N186" i="2"/>
  <c r="B20" i="1"/>
  <c r="K185" i="2"/>
  <c r="Q186" i="2"/>
  <c r="O185" i="2"/>
  <c r="M185" i="2"/>
  <c r="R186" i="2"/>
  <c r="M186" i="2"/>
  <c r="K26" i="9"/>
  <c r="L19" i="9" s="1"/>
  <c r="L8" i="9" s="1"/>
  <c r="K21" i="9"/>
  <c r="K10" i="9" s="1"/>
  <c r="K24" i="9"/>
  <c r="K31" i="9"/>
  <c r="F68" i="6"/>
  <c r="F69" i="6" s="1"/>
  <c r="F60" i="6"/>
  <c r="F61" i="6" s="1"/>
  <c r="K28" i="9"/>
  <c r="K27" i="9"/>
  <c r="L20" i="9" s="1"/>
  <c r="L9" i="9" s="1"/>
  <c r="K11" i="9"/>
  <c r="H72" i="6"/>
  <c r="H17" i="6"/>
  <c r="H20" i="6"/>
  <c r="H73" i="6"/>
  <c r="E86" i="6" s="1"/>
  <c r="C152" i="7"/>
  <c r="C142" i="2" s="1"/>
  <c r="C151" i="7"/>
  <c r="C141" i="2" s="1"/>
  <c r="C150" i="7"/>
  <c r="C140" i="2" s="1"/>
  <c r="C153" i="7"/>
  <c r="C143" i="2" s="1"/>
  <c r="D151" i="7"/>
  <c r="D141" i="2" s="1"/>
  <c r="D153" i="7"/>
  <c r="D143" i="2" s="1"/>
  <c r="D152" i="7"/>
  <c r="D142" i="2" s="1"/>
  <c r="D150" i="7"/>
  <c r="D140" i="2" s="1"/>
  <c r="B152" i="7"/>
  <c r="B142" i="2" s="1"/>
  <c r="B150" i="7"/>
  <c r="B140" i="2" s="1"/>
  <c r="B151" i="7"/>
  <c r="B141" i="2" s="1"/>
  <c r="B153" i="7"/>
  <c r="B143" i="2" s="1"/>
  <c r="G72" i="6"/>
  <c r="G74" i="6"/>
  <c r="D87" i="6" s="1"/>
  <c r="G73" i="6" s="1"/>
  <c r="D86" i="6" s="1"/>
  <c r="F75" i="6"/>
  <c r="C88" i="6" s="1"/>
  <c r="F74" i="6" s="1"/>
  <c r="C87" i="6" s="1"/>
  <c r="F73" i="6" s="1"/>
  <c r="C86" i="6" s="1"/>
  <c r="F72" i="6"/>
  <c r="H74" i="6"/>
  <c r="E87" i="6" s="1"/>
  <c r="G60" i="6"/>
  <c r="G61" i="6" s="1"/>
  <c r="G75" i="6" s="1"/>
  <c r="D88" i="6" s="1"/>
  <c r="G69" i="6"/>
  <c r="H69" i="6"/>
  <c r="H60" i="6"/>
  <c r="H61" i="6" s="1"/>
  <c r="H75" i="6" s="1"/>
  <c r="E88" i="6" s="1"/>
  <c r="G30" i="2"/>
  <c r="G36" i="2" s="1"/>
  <c r="G37" i="2" s="1"/>
  <c r="F56" i="2"/>
  <c r="F63" i="2" s="1"/>
  <c r="F43" i="2"/>
  <c r="F50" i="2" s="1"/>
  <c r="G48" i="2"/>
  <c r="F48" i="2"/>
  <c r="G60" i="2"/>
  <c r="E49" i="2"/>
  <c r="E61" i="2"/>
  <c r="E47" i="2"/>
  <c r="F49" i="2"/>
  <c r="B61" i="14" l="1"/>
  <c r="U34" i="11" s="1"/>
  <c r="L11" i="9"/>
  <c r="R195" i="2"/>
  <c r="J195" i="2"/>
  <c r="Q195" i="2"/>
  <c r="P195" i="2"/>
  <c r="O195" i="2"/>
  <c r="N195" i="2"/>
  <c r="M195" i="2"/>
  <c r="I195" i="2"/>
  <c r="L195" i="2"/>
  <c r="B25" i="14"/>
  <c r="B8" i="2"/>
  <c r="B43" i="14"/>
  <c r="B44" i="14" s="1"/>
  <c r="U19" i="11" s="1"/>
  <c r="M13" i="9"/>
  <c r="N13" i="9" s="1"/>
  <c r="K36" i="9"/>
  <c r="L21" i="9"/>
  <c r="L10" i="9" s="1"/>
  <c r="D85" i="6"/>
  <c r="G76" i="6"/>
  <c r="E85" i="6"/>
  <c r="H76" i="6"/>
  <c r="P137" i="2"/>
  <c r="AB136" i="2" s="1"/>
  <c r="K137" i="2"/>
  <c r="W136" i="2" s="1"/>
  <c r="O137" i="2"/>
  <c r="AA136" i="2" s="1"/>
  <c r="N137" i="2"/>
  <c r="Z136" i="2" s="1"/>
  <c r="M137" i="2"/>
  <c r="Y136" i="2" s="1"/>
  <c r="P135" i="2"/>
  <c r="AB134" i="2" s="1"/>
  <c r="K134" i="2"/>
  <c r="W133" i="2" s="1"/>
  <c r="Q137" i="2"/>
  <c r="AC136" i="2" s="1"/>
  <c r="L137" i="2"/>
  <c r="X136" i="2" s="1"/>
  <c r="I134" i="2"/>
  <c r="U133" i="2" s="1"/>
  <c r="N135" i="2"/>
  <c r="Z134" i="2" s="1"/>
  <c r="J137" i="2"/>
  <c r="V136" i="2" s="1"/>
  <c r="M135" i="2"/>
  <c r="Y134" i="2" s="1"/>
  <c r="N134" i="2"/>
  <c r="Z133" i="2" s="1"/>
  <c r="J134" i="2"/>
  <c r="V133" i="2" s="1"/>
  <c r="J135" i="2"/>
  <c r="V134" i="2" s="1"/>
  <c r="Q134" i="2"/>
  <c r="AC133" i="2" s="1"/>
  <c r="M134" i="2"/>
  <c r="Y133" i="2" s="1"/>
  <c r="R134" i="2"/>
  <c r="AD133" i="2" s="1"/>
  <c r="R137" i="2"/>
  <c r="AD136" i="2" s="1"/>
  <c r="O135" i="2"/>
  <c r="AA134" i="2" s="1"/>
  <c r="Q135" i="2"/>
  <c r="AC134" i="2" s="1"/>
  <c r="O134" i="2"/>
  <c r="AA133" i="2" s="1"/>
  <c r="R135" i="2"/>
  <c r="AD134" i="2" s="1"/>
  <c r="P134" i="2"/>
  <c r="AB133" i="2" s="1"/>
  <c r="I137" i="2"/>
  <c r="U136" i="2" s="1"/>
  <c r="L135" i="2"/>
  <c r="X134" i="2" s="1"/>
  <c r="K135" i="2"/>
  <c r="W134" i="2" s="1"/>
  <c r="L134" i="2"/>
  <c r="X133" i="2" s="1"/>
  <c r="I135" i="2"/>
  <c r="U134" i="2" s="1"/>
  <c r="B62" i="14"/>
  <c r="C44" i="11"/>
  <c r="K13" i="9"/>
  <c r="L24" i="9"/>
  <c r="C85" i="6"/>
  <c r="F76" i="6"/>
  <c r="N9" i="9"/>
  <c r="R140" i="2"/>
  <c r="J140" i="2"/>
  <c r="Q140" i="2"/>
  <c r="I140" i="2"/>
  <c r="P140" i="2"/>
  <c r="K140" i="2"/>
  <c r="O140" i="2"/>
  <c r="N140" i="2"/>
  <c r="M140" i="2"/>
  <c r="L140" i="2"/>
  <c r="G56" i="2"/>
  <c r="G57" i="2" s="1"/>
  <c r="G43" i="2"/>
  <c r="G50" i="2" s="1"/>
  <c r="G49" i="2"/>
  <c r="F57" i="2"/>
  <c r="F60" i="2"/>
  <c r="F44" i="2"/>
  <c r="E57" i="2"/>
  <c r="E44" i="2"/>
  <c r="U18" i="11" l="1"/>
  <c r="B26" i="14"/>
  <c r="U7" i="11" s="1"/>
  <c r="U6" i="11"/>
  <c r="M15" i="9"/>
  <c r="N15" i="9"/>
  <c r="N16" i="9" s="1"/>
  <c r="L36" i="9"/>
  <c r="C45" i="11"/>
  <c r="U35" i="11"/>
  <c r="L13" i="9"/>
  <c r="G63" i="2"/>
  <c r="G44" i="2"/>
  <c r="M36" i="9" l="1"/>
  <c r="R14" i="2" s="1"/>
  <c r="S13" i="11" s="1"/>
  <c r="K63" i="2"/>
  <c r="L63" i="2" s="1"/>
  <c r="M63" i="2" s="1"/>
  <c r="N63" i="2" s="1"/>
  <c r="O63" i="2" s="1"/>
  <c r="P63" i="2" s="1"/>
  <c r="Q63" i="2" s="1"/>
  <c r="R63" i="2" s="1"/>
  <c r="I21" i="2"/>
  <c r="J6" i="6" s="1"/>
  <c r="I20" i="2"/>
  <c r="D97" i="4"/>
  <c r="E97" i="4"/>
  <c r="D98" i="4"/>
  <c r="E98" i="4"/>
  <c r="D99" i="4"/>
  <c r="E99" i="4"/>
  <c r="D100" i="4"/>
  <c r="E100" i="4"/>
  <c r="D101" i="4"/>
  <c r="E101" i="4"/>
  <c r="D102" i="4"/>
  <c r="E102" i="4"/>
  <c r="D103" i="4"/>
  <c r="E103" i="4"/>
  <c r="D104" i="4"/>
  <c r="E104" i="4"/>
  <c r="D105" i="4"/>
  <c r="E105" i="4"/>
  <c r="D106" i="4"/>
  <c r="E106" i="4"/>
  <c r="D107" i="4"/>
  <c r="E107" i="4"/>
  <c r="D108" i="4"/>
  <c r="E108" i="4"/>
  <c r="D109" i="4"/>
  <c r="E109" i="4"/>
  <c r="D110" i="4"/>
  <c r="E110" i="4"/>
  <c r="D111" i="4"/>
  <c r="E111" i="4"/>
  <c r="D112" i="4"/>
  <c r="E112" i="4"/>
  <c r="D113" i="4"/>
  <c r="E113" i="4"/>
  <c r="D114" i="4"/>
  <c r="E114" i="4"/>
  <c r="D115" i="4"/>
  <c r="E115" i="4"/>
  <c r="D116" i="4"/>
  <c r="E116" i="4"/>
  <c r="D117" i="4"/>
  <c r="E117" i="4"/>
  <c r="D118" i="4"/>
  <c r="E118" i="4"/>
  <c r="D119" i="4"/>
  <c r="E119" i="4"/>
  <c r="D120" i="4"/>
  <c r="E120" i="4"/>
  <c r="D121" i="4"/>
  <c r="E121" i="4"/>
  <c r="D122" i="4"/>
  <c r="E122" i="4"/>
  <c r="D123" i="4"/>
  <c r="E123" i="4"/>
  <c r="D124" i="4"/>
  <c r="E124" i="4"/>
  <c r="D125" i="4"/>
  <c r="E125" i="4"/>
  <c r="D126" i="4"/>
  <c r="E126" i="4"/>
  <c r="D127" i="4"/>
  <c r="E127" i="4"/>
  <c r="D128" i="4"/>
  <c r="E128" i="4"/>
  <c r="D129" i="4"/>
  <c r="E129" i="4"/>
  <c r="D130" i="4"/>
  <c r="E130" i="4"/>
  <c r="D131" i="4"/>
  <c r="E131" i="4"/>
  <c r="D132" i="4"/>
  <c r="E132" i="4"/>
  <c r="D133" i="4"/>
  <c r="E133" i="4"/>
  <c r="D134" i="4"/>
  <c r="E134" i="4"/>
  <c r="D135" i="4"/>
  <c r="E135" i="4"/>
  <c r="D136" i="4"/>
  <c r="E136" i="4"/>
  <c r="D137" i="4"/>
  <c r="E137" i="4"/>
  <c r="D138" i="4"/>
  <c r="E138" i="4"/>
  <c r="D139" i="4"/>
  <c r="E139" i="4"/>
  <c r="D140" i="4"/>
  <c r="E140" i="4"/>
  <c r="D141" i="4"/>
  <c r="E141" i="4"/>
  <c r="D142" i="4"/>
  <c r="E142" i="4"/>
  <c r="D143" i="4"/>
  <c r="E143" i="4"/>
  <c r="D144" i="4"/>
  <c r="E144" i="4"/>
  <c r="D145" i="4"/>
  <c r="E145" i="4"/>
  <c r="D146" i="4"/>
  <c r="E146" i="4"/>
  <c r="D147" i="4"/>
  <c r="E147" i="4"/>
  <c r="D148" i="4"/>
  <c r="E148" i="4"/>
  <c r="D149" i="4"/>
  <c r="E149" i="4"/>
  <c r="D150" i="4"/>
  <c r="E150" i="4"/>
  <c r="D151" i="4"/>
  <c r="E151" i="4"/>
  <c r="D152" i="4"/>
  <c r="E152" i="4"/>
  <c r="D153" i="4"/>
  <c r="E153" i="4"/>
  <c r="D154" i="4"/>
  <c r="E154" i="4"/>
  <c r="D155" i="4"/>
  <c r="E155" i="4"/>
  <c r="D156" i="4"/>
  <c r="E156" i="4"/>
  <c r="D157" i="4"/>
  <c r="E157" i="4"/>
  <c r="D158" i="4"/>
  <c r="E158" i="4"/>
  <c r="D159" i="4"/>
  <c r="E159" i="4"/>
  <c r="D160" i="4"/>
  <c r="E160" i="4"/>
  <c r="D161" i="4"/>
  <c r="E161" i="4"/>
  <c r="D162" i="4"/>
  <c r="E162" i="4"/>
  <c r="D163" i="4"/>
  <c r="E163" i="4"/>
  <c r="D164" i="4"/>
  <c r="E164" i="4"/>
  <c r="D165" i="4"/>
  <c r="E165" i="4"/>
  <c r="D166" i="4"/>
  <c r="E166" i="4"/>
  <c r="D167" i="4"/>
  <c r="E167" i="4"/>
  <c r="D168" i="4"/>
  <c r="E168" i="4"/>
  <c r="D169" i="4"/>
  <c r="E169" i="4"/>
  <c r="D170" i="4"/>
  <c r="E170" i="4"/>
  <c r="D171" i="4"/>
  <c r="E171" i="4"/>
  <c r="D172" i="4"/>
  <c r="E172" i="4"/>
  <c r="D173" i="4"/>
  <c r="E173" i="4"/>
  <c r="D174" i="4"/>
  <c r="E174" i="4"/>
  <c r="D175" i="4"/>
  <c r="E175" i="4"/>
  <c r="D176" i="4"/>
  <c r="E176" i="4"/>
  <c r="D177" i="4"/>
  <c r="E177" i="4"/>
  <c r="D178" i="4"/>
  <c r="E178" i="4"/>
  <c r="D179" i="4"/>
  <c r="E179" i="4"/>
  <c r="D180" i="4"/>
  <c r="E180" i="4"/>
  <c r="D181" i="4"/>
  <c r="E181" i="4"/>
  <c r="D182" i="4"/>
  <c r="E182" i="4"/>
  <c r="D183" i="4"/>
  <c r="E183" i="4"/>
  <c r="D184" i="4"/>
  <c r="E184" i="4"/>
  <c r="D185" i="4"/>
  <c r="E185" i="4"/>
  <c r="D186" i="4"/>
  <c r="E186" i="4"/>
  <c r="D187" i="4"/>
  <c r="E187" i="4"/>
  <c r="D188" i="4"/>
  <c r="E188" i="4"/>
  <c r="D189" i="4"/>
  <c r="E189" i="4"/>
  <c r="D190" i="4"/>
  <c r="E190" i="4"/>
  <c r="D191" i="4"/>
  <c r="E191" i="4"/>
  <c r="D192" i="4"/>
  <c r="E192" i="4"/>
  <c r="D193" i="4"/>
  <c r="E193" i="4"/>
  <c r="D194" i="4"/>
  <c r="E194" i="4"/>
  <c r="D195" i="4"/>
  <c r="E195" i="4"/>
  <c r="D196" i="4"/>
  <c r="E196" i="4"/>
  <c r="D197" i="4"/>
  <c r="E197" i="4"/>
  <c r="D198" i="4"/>
  <c r="E198" i="4"/>
  <c r="D199" i="4"/>
  <c r="E199" i="4"/>
  <c r="D200" i="4"/>
  <c r="E200" i="4"/>
  <c r="D201" i="4"/>
  <c r="E201" i="4"/>
  <c r="D202" i="4"/>
  <c r="E202" i="4"/>
  <c r="D203" i="4"/>
  <c r="E203" i="4"/>
  <c r="D204" i="4"/>
  <c r="E204" i="4"/>
  <c r="D205" i="4"/>
  <c r="E205" i="4"/>
  <c r="D206" i="4"/>
  <c r="E206" i="4"/>
  <c r="D207" i="4"/>
  <c r="E207" i="4"/>
  <c r="D208" i="4"/>
  <c r="E208" i="4"/>
  <c r="D209" i="4"/>
  <c r="E209" i="4"/>
  <c r="D210" i="4"/>
  <c r="E210" i="4"/>
  <c r="D211" i="4"/>
  <c r="E211" i="4"/>
  <c r="D212" i="4"/>
  <c r="E212" i="4"/>
  <c r="D213" i="4"/>
  <c r="E213" i="4"/>
  <c r="D214" i="4"/>
  <c r="E214" i="4"/>
  <c r="D215" i="4"/>
  <c r="E215" i="4"/>
  <c r="D216" i="4"/>
  <c r="E216" i="4"/>
  <c r="D217" i="4"/>
  <c r="E217" i="4"/>
  <c r="D218" i="4"/>
  <c r="E218" i="4"/>
  <c r="D219" i="4"/>
  <c r="E219" i="4"/>
  <c r="D220" i="4"/>
  <c r="E220" i="4"/>
  <c r="D221" i="4"/>
  <c r="E221" i="4"/>
  <c r="D222" i="4"/>
  <c r="E222" i="4"/>
  <c r="D223" i="4"/>
  <c r="E223" i="4"/>
  <c r="D224" i="4"/>
  <c r="E224" i="4"/>
  <c r="D225" i="4"/>
  <c r="E225" i="4"/>
  <c r="D226" i="4"/>
  <c r="E226" i="4"/>
  <c r="D227" i="4"/>
  <c r="E227" i="4"/>
  <c r="D228" i="4"/>
  <c r="E228" i="4"/>
  <c r="D229" i="4"/>
  <c r="E229" i="4"/>
  <c r="D230" i="4"/>
  <c r="E230" i="4"/>
  <c r="D231" i="4"/>
  <c r="E231" i="4"/>
  <c r="D232" i="4"/>
  <c r="E232" i="4"/>
  <c r="D233" i="4"/>
  <c r="E233" i="4"/>
  <c r="D234" i="4"/>
  <c r="E234" i="4"/>
  <c r="D235" i="4"/>
  <c r="E235" i="4"/>
  <c r="D236" i="4"/>
  <c r="E236" i="4"/>
  <c r="D237" i="4"/>
  <c r="E237" i="4"/>
  <c r="D238" i="4"/>
  <c r="E238" i="4"/>
  <c r="D239" i="4"/>
  <c r="E239" i="4"/>
  <c r="D240" i="4"/>
  <c r="E240" i="4"/>
  <c r="D241" i="4"/>
  <c r="E241" i="4"/>
  <c r="D242" i="4"/>
  <c r="E242" i="4"/>
  <c r="D243" i="4"/>
  <c r="E243" i="4"/>
  <c r="D244" i="4"/>
  <c r="E244" i="4"/>
  <c r="D245" i="4"/>
  <c r="E245" i="4"/>
  <c r="D246" i="4"/>
  <c r="E246" i="4"/>
  <c r="D247" i="4"/>
  <c r="E247" i="4"/>
  <c r="D248" i="4"/>
  <c r="E248" i="4"/>
  <c r="D249" i="4"/>
  <c r="E249" i="4"/>
  <c r="D250" i="4"/>
  <c r="E250" i="4"/>
  <c r="D251" i="4"/>
  <c r="E251" i="4"/>
  <c r="D252" i="4"/>
  <c r="E252" i="4"/>
  <c r="D253" i="4"/>
  <c r="E253" i="4"/>
  <c r="D254" i="4"/>
  <c r="E254" i="4"/>
  <c r="D255" i="4"/>
  <c r="E255" i="4"/>
  <c r="D256" i="4"/>
  <c r="E256" i="4"/>
  <c r="D257" i="4"/>
  <c r="E257" i="4"/>
  <c r="D258" i="4"/>
  <c r="E258" i="4"/>
  <c r="D259" i="4"/>
  <c r="E259" i="4"/>
  <c r="D260" i="4"/>
  <c r="E260" i="4"/>
  <c r="D261" i="4"/>
  <c r="E261" i="4"/>
  <c r="D262" i="4"/>
  <c r="E262" i="4"/>
  <c r="D263" i="4"/>
  <c r="E263" i="4"/>
  <c r="D264" i="4"/>
  <c r="E264" i="4"/>
  <c r="D265" i="4"/>
  <c r="E265" i="4"/>
  <c r="D266" i="4"/>
  <c r="E266" i="4"/>
  <c r="D267" i="4"/>
  <c r="E267" i="4"/>
  <c r="D268" i="4"/>
  <c r="E268" i="4"/>
  <c r="D269" i="4"/>
  <c r="E269" i="4"/>
  <c r="D270" i="4"/>
  <c r="E270" i="4"/>
  <c r="D271" i="4"/>
  <c r="E271" i="4"/>
  <c r="D272" i="4"/>
  <c r="E272" i="4"/>
  <c r="D273" i="4"/>
  <c r="E273" i="4"/>
  <c r="D274" i="4"/>
  <c r="E274" i="4"/>
  <c r="D275" i="4"/>
  <c r="E275" i="4"/>
  <c r="D276" i="4"/>
  <c r="E276" i="4"/>
  <c r="D277" i="4"/>
  <c r="E277" i="4"/>
  <c r="D278" i="4"/>
  <c r="E278" i="4"/>
  <c r="D279" i="4"/>
  <c r="E279" i="4"/>
  <c r="D280" i="4"/>
  <c r="E280" i="4"/>
  <c r="D281" i="4"/>
  <c r="E281" i="4"/>
  <c r="D282" i="4"/>
  <c r="E282" i="4"/>
  <c r="D283" i="4"/>
  <c r="E283" i="4"/>
  <c r="D284" i="4"/>
  <c r="E284" i="4"/>
  <c r="D285" i="4"/>
  <c r="E285" i="4"/>
  <c r="D286" i="4"/>
  <c r="E286" i="4"/>
  <c r="D287" i="4"/>
  <c r="E287" i="4"/>
  <c r="D288" i="4"/>
  <c r="E288" i="4"/>
  <c r="D289" i="4"/>
  <c r="E289" i="4"/>
  <c r="D290" i="4"/>
  <c r="E290" i="4"/>
  <c r="D291" i="4"/>
  <c r="E291" i="4"/>
  <c r="D292" i="4"/>
  <c r="E292" i="4"/>
  <c r="D293" i="4"/>
  <c r="E293" i="4"/>
  <c r="D294" i="4"/>
  <c r="E294" i="4"/>
  <c r="D295" i="4"/>
  <c r="E295" i="4"/>
  <c r="D296" i="4"/>
  <c r="E296" i="4"/>
  <c r="D297" i="4"/>
  <c r="E297" i="4"/>
  <c r="D298" i="4"/>
  <c r="E298" i="4"/>
  <c r="D299" i="4"/>
  <c r="E299" i="4"/>
  <c r="D300" i="4"/>
  <c r="E300" i="4"/>
  <c r="D301" i="4"/>
  <c r="E301" i="4"/>
  <c r="D302" i="4"/>
  <c r="E302" i="4"/>
  <c r="D303" i="4"/>
  <c r="E303" i="4"/>
  <c r="D304" i="4"/>
  <c r="E304" i="4"/>
  <c r="D305" i="4"/>
  <c r="E305" i="4"/>
  <c r="D306" i="4"/>
  <c r="E306" i="4"/>
  <c r="D307" i="4"/>
  <c r="E307" i="4"/>
  <c r="D308" i="4"/>
  <c r="E308" i="4"/>
  <c r="D309" i="4"/>
  <c r="E309" i="4"/>
  <c r="D310" i="4"/>
  <c r="E310" i="4"/>
  <c r="D311" i="4"/>
  <c r="E311" i="4"/>
  <c r="D312" i="4"/>
  <c r="E312" i="4"/>
  <c r="D313" i="4"/>
  <c r="E313" i="4"/>
  <c r="D314" i="4"/>
  <c r="E314" i="4"/>
  <c r="D315" i="4"/>
  <c r="E315" i="4"/>
  <c r="D316" i="4"/>
  <c r="E316" i="4"/>
  <c r="D317" i="4"/>
  <c r="E317" i="4"/>
  <c r="D318" i="4"/>
  <c r="E318" i="4"/>
  <c r="D319" i="4"/>
  <c r="E319" i="4"/>
  <c r="D320" i="4"/>
  <c r="E320" i="4"/>
  <c r="D321" i="4"/>
  <c r="E321" i="4"/>
  <c r="D322" i="4"/>
  <c r="E322" i="4"/>
  <c r="D323" i="4"/>
  <c r="E323" i="4"/>
  <c r="D324" i="4"/>
  <c r="E324" i="4"/>
  <c r="D325" i="4"/>
  <c r="E325" i="4"/>
  <c r="D326" i="4"/>
  <c r="E326" i="4"/>
  <c r="D327" i="4"/>
  <c r="E327" i="4"/>
  <c r="D328" i="4"/>
  <c r="E328" i="4"/>
  <c r="D329" i="4"/>
  <c r="E329" i="4"/>
  <c r="D330" i="4"/>
  <c r="E330" i="4"/>
  <c r="D331" i="4"/>
  <c r="E331" i="4"/>
  <c r="D332" i="4"/>
  <c r="E332" i="4"/>
  <c r="D333" i="4"/>
  <c r="E333" i="4"/>
  <c r="D334" i="4"/>
  <c r="E334" i="4"/>
  <c r="D335" i="4"/>
  <c r="E335" i="4"/>
  <c r="D336" i="4"/>
  <c r="E336" i="4"/>
  <c r="D337" i="4"/>
  <c r="E337" i="4"/>
  <c r="D338" i="4"/>
  <c r="E338" i="4"/>
  <c r="D339" i="4"/>
  <c r="E339" i="4"/>
  <c r="D340" i="4"/>
  <c r="E340" i="4"/>
  <c r="D341" i="4"/>
  <c r="E341" i="4"/>
  <c r="D342" i="4"/>
  <c r="E342" i="4"/>
  <c r="D343" i="4"/>
  <c r="E343" i="4"/>
  <c r="D344" i="4"/>
  <c r="E344" i="4"/>
  <c r="D345" i="4"/>
  <c r="E345" i="4"/>
  <c r="D346" i="4"/>
  <c r="E346" i="4"/>
  <c r="D347" i="4"/>
  <c r="E347" i="4"/>
  <c r="D348" i="4"/>
  <c r="E348" i="4"/>
  <c r="D349" i="4"/>
  <c r="E349" i="4"/>
  <c r="D350" i="4"/>
  <c r="E350" i="4"/>
  <c r="D351" i="4"/>
  <c r="E351" i="4"/>
  <c r="D352" i="4"/>
  <c r="E352" i="4"/>
  <c r="D353" i="4"/>
  <c r="E353" i="4"/>
  <c r="D354" i="4"/>
  <c r="E354" i="4"/>
  <c r="D355" i="4"/>
  <c r="E355" i="4"/>
  <c r="D356" i="4"/>
  <c r="E356" i="4"/>
  <c r="D357" i="4"/>
  <c r="E357" i="4"/>
  <c r="D358" i="4"/>
  <c r="E358" i="4"/>
  <c r="D359" i="4"/>
  <c r="E359" i="4"/>
  <c r="D360" i="4"/>
  <c r="E360" i="4"/>
  <c r="D361" i="4"/>
  <c r="E361" i="4"/>
  <c r="D362" i="4"/>
  <c r="E362" i="4"/>
  <c r="D363" i="4"/>
  <c r="E363" i="4"/>
  <c r="D364" i="4"/>
  <c r="E364" i="4"/>
  <c r="D365" i="4"/>
  <c r="E365" i="4"/>
  <c r="D366" i="4"/>
  <c r="E366" i="4"/>
  <c r="D367" i="4"/>
  <c r="E367" i="4"/>
  <c r="D368" i="4"/>
  <c r="E368" i="4"/>
  <c r="D369" i="4"/>
  <c r="E369" i="4"/>
  <c r="D370" i="4"/>
  <c r="E370" i="4"/>
  <c r="D371" i="4"/>
  <c r="E371" i="4"/>
  <c r="D372" i="4"/>
  <c r="E372" i="4"/>
  <c r="D373" i="4"/>
  <c r="E373" i="4"/>
  <c r="D374" i="4"/>
  <c r="E374" i="4"/>
  <c r="D375" i="4"/>
  <c r="E375" i="4"/>
  <c r="D376" i="4"/>
  <c r="E376" i="4"/>
  <c r="D377" i="4"/>
  <c r="E377" i="4"/>
  <c r="D378" i="4"/>
  <c r="E378" i="4"/>
  <c r="D379" i="4"/>
  <c r="E379" i="4"/>
  <c r="D380" i="4"/>
  <c r="E380" i="4"/>
  <c r="D381" i="4"/>
  <c r="E381" i="4"/>
  <c r="D382" i="4"/>
  <c r="E382" i="4"/>
  <c r="D383" i="4"/>
  <c r="E383" i="4"/>
  <c r="D384" i="4"/>
  <c r="E384" i="4"/>
  <c r="D385" i="4"/>
  <c r="E385" i="4"/>
  <c r="D386" i="4"/>
  <c r="E386" i="4"/>
  <c r="D387" i="4"/>
  <c r="E387" i="4"/>
  <c r="D388" i="4"/>
  <c r="E388" i="4"/>
  <c r="D389" i="4"/>
  <c r="E389" i="4"/>
  <c r="D390" i="4"/>
  <c r="E390" i="4"/>
  <c r="D391" i="4"/>
  <c r="E391" i="4"/>
  <c r="D392" i="4"/>
  <c r="E392" i="4"/>
  <c r="D393" i="4"/>
  <c r="E393" i="4"/>
  <c r="D394" i="4"/>
  <c r="E394" i="4"/>
  <c r="D395" i="4"/>
  <c r="E395" i="4"/>
  <c r="D396" i="4"/>
  <c r="E396" i="4"/>
  <c r="D397" i="4"/>
  <c r="E397" i="4"/>
  <c r="D398" i="4"/>
  <c r="E398" i="4"/>
  <c r="D399" i="4"/>
  <c r="E399" i="4"/>
  <c r="D400" i="4"/>
  <c r="E400" i="4"/>
  <c r="D401" i="4"/>
  <c r="E401" i="4"/>
  <c r="D402" i="4"/>
  <c r="E402" i="4"/>
  <c r="D403" i="4"/>
  <c r="E403" i="4"/>
  <c r="D404" i="4"/>
  <c r="E404" i="4"/>
  <c r="D405" i="4"/>
  <c r="E405" i="4"/>
  <c r="D406" i="4"/>
  <c r="E406" i="4"/>
  <c r="D407" i="4"/>
  <c r="E407" i="4"/>
  <c r="D408" i="4"/>
  <c r="E408" i="4"/>
  <c r="D409" i="4"/>
  <c r="E409" i="4"/>
  <c r="D410" i="4"/>
  <c r="E410" i="4"/>
  <c r="D411" i="4"/>
  <c r="E411" i="4"/>
  <c r="D412" i="4"/>
  <c r="E412" i="4"/>
  <c r="D413" i="4"/>
  <c r="E413" i="4"/>
  <c r="D414" i="4"/>
  <c r="E414" i="4"/>
  <c r="D415" i="4"/>
  <c r="E415" i="4"/>
  <c r="D416" i="4"/>
  <c r="E416" i="4"/>
  <c r="D417" i="4"/>
  <c r="E417" i="4"/>
  <c r="D418" i="4"/>
  <c r="E418" i="4"/>
  <c r="D419" i="4"/>
  <c r="E419" i="4"/>
  <c r="D420" i="4"/>
  <c r="E420" i="4"/>
  <c r="D421" i="4"/>
  <c r="E421" i="4"/>
  <c r="D422" i="4"/>
  <c r="E422" i="4"/>
  <c r="D423" i="4"/>
  <c r="E423" i="4"/>
  <c r="D424" i="4"/>
  <c r="E424" i="4"/>
  <c r="D425" i="4"/>
  <c r="E425" i="4"/>
  <c r="D426" i="4"/>
  <c r="E426" i="4"/>
  <c r="D427" i="4"/>
  <c r="E427" i="4"/>
  <c r="D428" i="4"/>
  <c r="E428" i="4"/>
  <c r="D429" i="4"/>
  <c r="E429" i="4"/>
  <c r="D430" i="4"/>
  <c r="E430" i="4"/>
  <c r="D431" i="4"/>
  <c r="E431" i="4"/>
  <c r="D432" i="4"/>
  <c r="E432" i="4"/>
  <c r="D433" i="4"/>
  <c r="E433" i="4"/>
  <c r="D434" i="4"/>
  <c r="E434" i="4"/>
  <c r="D435" i="4"/>
  <c r="E435" i="4"/>
  <c r="D436" i="4"/>
  <c r="E436" i="4"/>
  <c r="D437" i="4"/>
  <c r="E437" i="4"/>
  <c r="D438" i="4"/>
  <c r="E438" i="4"/>
  <c r="D439" i="4"/>
  <c r="E439" i="4"/>
  <c r="D440" i="4"/>
  <c r="E440" i="4"/>
  <c r="D441" i="4"/>
  <c r="E441" i="4"/>
  <c r="D442" i="4"/>
  <c r="E442" i="4"/>
  <c r="D443" i="4"/>
  <c r="E443" i="4"/>
  <c r="D444" i="4"/>
  <c r="E444" i="4"/>
  <c r="D445" i="4"/>
  <c r="E445" i="4"/>
  <c r="D446" i="4"/>
  <c r="E446" i="4"/>
  <c r="D447" i="4"/>
  <c r="E447" i="4"/>
  <c r="D448" i="4"/>
  <c r="E448" i="4"/>
  <c r="D449" i="4"/>
  <c r="E449" i="4"/>
  <c r="D450" i="4"/>
  <c r="E450" i="4"/>
  <c r="D451" i="4"/>
  <c r="E451" i="4"/>
  <c r="D452" i="4"/>
  <c r="E452" i="4"/>
  <c r="D453" i="4"/>
  <c r="E453" i="4"/>
  <c r="D454" i="4"/>
  <c r="E454" i="4"/>
  <c r="D455" i="4"/>
  <c r="E455" i="4"/>
  <c r="D456" i="4"/>
  <c r="E456" i="4"/>
  <c r="D457" i="4"/>
  <c r="E457" i="4"/>
  <c r="D458" i="4"/>
  <c r="E458" i="4"/>
  <c r="D459" i="4"/>
  <c r="E459" i="4"/>
  <c r="D460" i="4"/>
  <c r="E460" i="4"/>
  <c r="D461" i="4"/>
  <c r="E461" i="4"/>
  <c r="D462" i="4"/>
  <c r="E462" i="4"/>
  <c r="D463" i="4"/>
  <c r="E463" i="4"/>
  <c r="D464" i="4"/>
  <c r="E464" i="4"/>
  <c r="D465" i="4"/>
  <c r="E465" i="4"/>
  <c r="D466" i="4"/>
  <c r="E466" i="4"/>
  <c r="D467" i="4"/>
  <c r="E467" i="4"/>
  <c r="D468" i="4"/>
  <c r="E468" i="4"/>
  <c r="D469" i="4"/>
  <c r="E469" i="4"/>
  <c r="D470" i="4"/>
  <c r="E470" i="4"/>
  <c r="D471" i="4"/>
  <c r="E471" i="4"/>
  <c r="D472" i="4"/>
  <c r="E472" i="4"/>
  <c r="D473" i="4"/>
  <c r="E473" i="4"/>
  <c r="D474" i="4"/>
  <c r="E474" i="4"/>
  <c r="D475" i="4"/>
  <c r="E475" i="4"/>
  <c r="D476" i="4"/>
  <c r="E476" i="4"/>
  <c r="D477" i="4"/>
  <c r="E477" i="4"/>
  <c r="D478" i="4"/>
  <c r="E478" i="4"/>
  <c r="D479" i="4"/>
  <c r="E479" i="4"/>
  <c r="D480" i="4"/>
  <c r="E480" i="4"/>
  <c r="D481" i="4"/>
  <c r="E481" i="4"/>
  <c r="D482" i="4"/>
  <c r="E482" i="4"/>
  <c r="D483" i="4"/>
  <c r="E483" i="4"/>
  <c r="D484" i="4"/>
  <c r="E484" i="4"/>
  <c r="D485" i="4"/>
  <c r="E485" i="4"/>
  <c r="D486" i="4"/>
  <c r="E486" i="4"/>
  <c r="D487" i="4"/>
  <c r="E487" i="4"/>
  <c r="D488" i="4"/>
  <c r="E488" i="4"/>
  <c r="D489" i="4"/>
  <c r="E489" i="4"/>
  <c r="D490" i="4"/>
  <c r="E490" i="4"/>
  <c r="D491" i="4"/>
  <c r="E491" i="4"/>
  <c r="D492" i="4"/>
  <c r="E492" i="4"/>
  <c r="D493" i="4"/>
  <c r="E493" i="4"/>
  <c r="D494" i="4"/>
  <c r="E494" i="4"/>
  <c r="D495" i="4"/>
  <c r="E495" i="4"/>
  <c r="D496" i="4"/>
  <c r="E496" i="4"/>
  <c r="D497" i="4"/>
  <c r="E497" i="4"/>
  <c r="D498" i="4"/>
  <c r="E498" i="4"/>
  <c r="D499" i="4"/>
  <c r="E499" i="4"/>
  <c r="D500" i="4"/>
  <c r="E500" i="4"/>
  <c r="D501" i="4"/>
  <c r="E501" i="4"/>
  <c r="D502" i="4"/>
  <c r="E502" i="4"/>
  <c r="D503" i="4"/>
  <c r="E503" i="4"/>
  <c r="D504" i="4"/>
  <c r="E504" i="4"/>
  <c r="D505" i="4"/>
  <c r="E505" i="4"/>
  <c r="D506" i="4"/>
  <c r="E506" i="4"/>
  <c r="D507" i="4"/>
  <c r="E507" i="4"/>
  <c r="D508" i="4"/>
  <c r="E508" i="4"/>
  <c r="D509" i="4"/>
  <c r="E509" i="4"/>
  <c r="D510" i="4"/>
  <c r="E510" i="4"/>
  <c r="D511" i="4"/>
  <c r="E511" i="4"/>
  <c r="D512" i="4"/>
  <c r="E512" i="4"/>
  <c r="D513" i="4"/>
  <c r="E513" i="4"/>
  <c r="D514" i="4"/>
  <c r="E514" i="4"/>
  <c r="D515" i="4"/>
  <c r="E515" i="4"/>
  <c r="D516" i="4"/>
  <c r="E516" i="4"/>
  <c r="D517" i="4"/>
  <c r="E517" i="4"/>
  <c r="D518" i="4"/>
  <c r="E518" i="4"/>
  <c r="D519" i="4"/>
  <c r="E519" i="4"/>
  <c r="D520" i="4"/>
  <c r="E520" i="4"/>
  <c r="D521" i="4"/>
  <c r="E521" i="4"/>
  <c r="D522" i="4"/>
  <c r="E522" i="4"/>
  <c r="D523" i="4"/>
  <c r="E523" i="4"/>
  <c r="D524" i="4"/>
  <c r="E524" i="4"/>
  <c r="D525" i="4"/>
  <c r="E525" i="4"/>
  <c r="D526" i="4"/>
  <c r="E526" i="4"/>
  <c r="D527" i="4"/>
  <c r="E527" i="4"/>
  <c r="D528" i="4"/>
  <c r="E528" i="4"/>
  <c r="D529" i="4"/>
  <c r="E529" i="4"/>
  <c r="D530" i="4"/>
  <c r="E530" i="4"/>
  <c r="D531" i="4"/>
  <c r="E531" i="4"/>
  <c r="D532" i="4"/>
  <c r="E532" i="4"/>
  <c r="D533" i="4"/>
  <c r="E533" i="4"/>
  <c r="D534" i="4"/>
  <c r="E534" i="4"/>
  <c r="D535" i="4"/>
  <c r="E535" i="4"/>
  <c r="D536" i="4"/>
  <c r="E536" i="4"/>
  <c r="D537" i="4"/>
  <c r="E537" i="4"/>
  <c r="D538" i="4"/>
  <c r="E538" i="4"/>
  <c r="D539" i="4"/>
  <c r="E539" i="4"/>
  <c r="D540" i="4"/>
  <c r="E540" i="4"/>
  <c r="D541" i="4"/>
  <c r="E541" i="4"/>
  <c r="D542" i="4"/>
  <c r="E542" i="4"/>
  <c r="D543" i="4"/>
  <c r="E543" i="4"/>
  <c r="D544" i="4"/>
  <c r="E544" i="4"/>
  <c r="D545" i="4"/>
  <c r="E545" i="4"/>
  <c r="D546" i="4"/>
  <c r="E546" i="4"/>
  <c r="D547" i="4"/>
  <c r="E547" i="4"/>
  <c r="D548" i="4"/>
  <c r="E548" i="4"/>
  <c r="D549" i="4"/>
  <c r="E549" i="4"/>
  <c r="D550" i="4"/>
  <c r="E550" i="4"/>
  <c r="D551" i="4"/>
  <c r="E551" i="4"/>
  <c r="D552" i="4"/>
  <c r="E552" i="4"/>
  <c r="D553" i="4"/>
  <c r="E553" i="4"/>
  <c r="D554" i="4"/>
  <c r="E554" i="4"/>
  <c r="D555" i="4"/>
  <c r="E555" i="4"/>
  <c r="D556" i="4"/>
  <c r="E556" i="4"/>
  <c r="D557" i="4"/>
  <c r="E557" i="4"/>
  <c r="D558" i="4"/>
  <c r="E558" i="4"/>
  <c r="D559" i="4"/>
  <c r="E559" i="4"/>
  <c r="D560" i="4"/>
  <c r="E560" i="4"/>
  <c r="D561" i="4"/>
  <c r="E561" i="4"/>
  <c r="D562" i="4"/>
  <c r="E562" i="4"/>
  <c r="D563" i="4"/>
  <c r="E563" i="4"/>
  <c r="D564" i="4"/>
  <c r="E564" i="4"/>
  <c r="D565" i="4"/>
  <c r="E565" i="4"/>
  <c r="D566" i="4"/>
  <c r="E566" i="4"/>
  <c r="D567" i="4"/>
  <c r="E567" i="4"/>
  <c r="D568" i="4"/>
  <c r="E568" i="4"/>
  <c r="D569" i="4"/>
  <c r="E569" i="4"/>
  <c r="D570" i="4"/>
  <c r="E570" i="4"/>
  <c r="D571" i="4"/>
  <c r="E571" i="4"/>
  <c r="D572" i="4"/>
  <c r="E572" i="4"/>
  <c r="D573" i="4"/>
  <c r="E573" i="4"/>
  <c r="D574" i="4"/>
  <c r="E574" i="4"/>
  <c r="D575" i="4"/>
  <c r="E575" i="4"/>
  <c r="D576" i="4"/>
  <c r="E576" i="4"/>
  <c r="D577" i="4"/>
  <c r="E577" i="4"/>
  <c r="D578" i="4"/>
  <c r="E578" i="4"/>
  <c r="D579" i="4"/>
  <c r="E579" i="4"/>
  <c r="D580" i="4"/>
  <c r="E580" i="4"/>
  <c r="D581" i="4"/>
  <c r="E581" i="4"/>
  <c r="D582" i="4"/>
  <c r="E582" i="4"/>
  <c r="D583" i="4"/>
  <c r="E583" i="4"/>
  <c r="D584" i="4"/>
  <c r="E584" i="4"/>
  <c r="D585" i="4"/>
  <c r="E585" i="4"/>
  <c r="D586" i="4"/>
  <c r="E586" i="4"/>
  <c r="D587" i="4"/>
  <c r="E587" i="4"/>
  <c r="D588" i="4"/>
  <c r="E588" i="4"/>
  <c r="D589" i="4"/>
  <c r="E589" i="4"/>
  <c r="D590" i="4"/>
  <c r="E590" i="4"/>
  <c r="D591" i="4"/>
  <c r="E591" i="4"/>
  <c r="D592" i="4"/>
  <c r="E592" i="4"/>
  <c r="D593" i="4"/>
  <c r="E593" i="4"/>
  <c r="D594" i="4"/>
  <c r="E594" i="4"/>
  <c r="D595" i="4"/>
  <c r="E595" i="4"/>
  <c r="D596" i="4"/>
  <c r="E596" i="4"/>
  <c r="D597" i="4"/>
  <c r="E597" i="4"/>
  <c r="D598" i="4"/>
  <c r="E598" i="4"/>
  <c r="D599" i="4"/>
  <c r="E599" i="4"/>
  <c r="D600" i="4"/>
  <c r="E600" i="4"/>
  <c r="D601" i="4"/>
  <c r="E601" i="4"/>
  <c r="D602" i="4"/>
  <c r="E602" i="4"/>
  <c r="D603" i="4"/>
  <c r="E603" i="4"/>
  <c r="D604" i="4"/>
  <c r="E604" i="4"/>
  <c r="D605" i="4"/>
  <c r="E605" i="4"/>
  <c r="D606" i="4"/>
  <c r="E606" i="4"/>
  <c r="D607" i="4"/>
  <c r="E607" i="4"/>
  <c r="D608" i="4"/>
  <c r="E608" i="4"/>
  <c r="D609" i="4"/>
  <c r="E609" i="4"/>
  <c r="D610" i="4"/>
  <c r="E610" i="4"/>
  <c r="D611" i="4"/>
  <c r="E611" i="4"/>
  <c r="D612" i="4"/>
  <c r="E612" i="4"/>
  <c r="D613" i="4"/>
  <c r="E613" i="4"/>
  <c r="D614" i="4"/>
  <c r="E614" i="4"/>
  <c r="D615" i="4"/>
  <c r="E615" i="4"/>
  <c r="D616" i="4"/>
  <c r="E616" i="4"/>
  <c r="D617" i="4"/>
  <c r="E617" i="4"/>
  <c r="D618" i="4"/>
  <c r="E618" i="4"/>
  <c r="D619" i="4"/>
  <c r="E619" i="4"/>
  <c r="D620" i="4"/>
  <c r="E620" i="4"/>
  <c r="D621" i="4"/>
  <c r="E621" i="4"/>
  <c r="D622" i="4"/>
  <c r="E622" i="4"/>
  <c r="D623" i="4"/>
  <c r="E623" i="4"/>
  <c r="D624" i="4"/>
  <c r="E624" i="4"/>
  <c r="D625" i="4"/>
  <c r="E625" i="4"/>
  <c r="D626" i="4"/>
  <c r="E626" i="4"/>
  <c r="D627" i="4"/>
  <c r="E627" i="4"/>
  <c r="D628" i="4"/>
  <c r="E628" i="4"/>
  <c r="D629" i="4"/>
  <c r="E629" i="4"/>
  <c r="D630" i="4"/>
  <c r="E630" i="4"/>
  <c r="D631" i="4"/>
  <c r="E631" i="4"/>
  <c r="D632" i="4"/>
  <c r="E632" i="4"/>
  <c r="D633" i="4"/>
  <c r="E633" i="4"/>
  <c r="D634" i="4"/>
  <c r="E634" i="4"/>
  <c r="D635" i="4"/>
  <c r="E635" i="4"/>
  <c r="D636" i="4"/>
  <c r="E636" i="4"/>
  <c r="D637" i="4"/>
  <c r="E637" i="4"/>
  <c r="D638" i="4"/>
  <c r="E638" i="4"/>
  <c r="D639" i="4"/>
  <c r="E639" i="4"/>
  <c r="D640" i="4"/>
  <c r="E640" i="4"/>
  <c r="D641" i="4"/>
  <c r="E641" i="4"/>
  <c r="D642" i="4"/>
  <c r="E642" i="4"/>
  <c r="D643" i="4"/>
  <c r="E643" i="4"/>
  <c r="D644" i="4"/>
  <c r="E644" i="4"/>
  <c r="D645" i="4"/>
  <c r="E645" i="4"/>
  <c r="D646" i="4"/>
  <c r="E646" i="4"/>
  <c r="D647" i="4"/>
  <c r="E647" i="4"/>
  <c r="D648" i="4"/>
  <c r="E648" i="4"/>
  <c r="D649" i="4"/>
  <c r="E649" i="4"/>
  <c r="D650" i="4"/>
  <c r="E650" i="4"/>
  <c r="D651" i="4"/>
  <c r="E651" i="4"/>
  <c r="D652" i="4"/>
  <c r="E652" i="4"/>
  <c r="D653" i="4"/>
  <c r="E653" i="4"/>
  <c r="D654" i="4"/>
  <c r="E654" i="4"/>
  <c r="D655" i="4"/>
  <c r="E655" i="4"/>
  <c r="D656" i="4"/>
  <c r="E656" i="4"/>
  <c r="D657" i="4"/>
  <c r="E657" i="4"/>
  <c r="D658" i="4"/>
  <c r="E658" i="4"/>
  <c r="D659" i="4"/>
  <c r="E659" i="4"/>
  <c r="D660" i="4"/>
  <c r="E660" i="4"/>
  <c r="D661" i="4"/>
  <c r="E661" i="4"/>
  <c r="D662" i="4"/>
  <c r="E662" i="4"/>
  <c r="B85" i="4" a="1"/>
  <c r="B85" i="4" s="1"/>
  <c r="B82" i="4" a="1"/>
  <c r="B82" i="4" s="1"/>
  <c r="B13" i="4"/>
  <c r="B14" i="4" s="1"/>
  <c r="B20" i="4" s="1"/>
  <c r="B6" i="4" s="1"/>
  <c r="I189" i="2" l="1"/>
  <c r="I53" i="2"/>
  <c r="J56" i="6" s="1"/>
  <c r="J5" i="6"/>
  <c r="J35" i="6" s="1"/>
  <c r="I33" i="2"/>
  <c r="H33" i="2" s="1"/>
  <c r="I148" i="2"/>
  <c r="U141" i="2" s="1"/>
  <c r="H20" i="2"/>
  <c r="I5" i="6" s="1"/>
  <c r="I35" i="6" s="1"/>
  <c r="H21" i="2"/>
  <c r="I6" i="6" s="1"/>
  <c r="I36" i="6" s="1"/>
  <c r="J21" i="2"/>
  <c r="K6" i="6" s="1"/>
  <c r="J20" i="2"/>
  <c r="K5" i="6" s="1"/>
  <c r="B87" i="4"/>
  <c r="B86" i="4"/>
  <c r="B84" i="4"/>
  <c r="B83" i="4"/>
  <c r="J189" i="2" l="1"/>
  <c r="J17" i="6"/>
  <c r="J148" i="2"/>
  <c r="V141" i="2" s="1"/>
  <c r="K21" i="2"/>
  <c r="L6" i="6" s="1"/>
  <c r="B88" i="4"/>
  <c r="B80" i="4" s="1"/>
  <c r="K20" i="2"/>
  <c r="L5" i="6" s="1"/>
  <c r="K189" i="2" l="1"/>
  <c r="K148" i="2"/>
  <c r="W141" i="2" s="1"/>
  <c r="L21" i="2"/>
  <c r="M6" i="6" s="1"/>
  <c r="L20" i="2"/>
  <c r="M5" i="6" s="1"/>
  <c r="L189" i="2" l="1"/>
  <c r="L148" i="2"/>
  <c r="X141" i="2" s="1"/>
  <c r="M21" i="2"/>
  <c r="N6" i="6" s="1"/>
  <c r="M20" i="2"/>
  <c r="N5" i="6" s="1"/>
  <c r="M189" i="2" l="1"/>
  <c r="M148" i="2"/>
  <c r="Y141" i="2" s="1"/>
  <c r="N21" i="2"/>
  <c r="O6" i="6" s="1"/>
  <c r="N20" i="2"/>
  <c r="O5" i="6" s="1"/>
  <c r="B25" i="4"/>
  <c r="B24" i="4"/>
  <c r="B23" i="4"/>
  <c r="B4" i="4"/>
  <c r="D77" i="2"/>
  <c r="C77" i="2"/>
  <c r="B77" i="2"/>
  <c r="D16" i="2"/>
  <c r="D15" i="2"/>
  <c r="D14" i="2"/>
  <c r="E13" i="11" s="1"/>
  <c r="C16" i="2"/>
  <c r="C15" i="2"/>
  <c r="C14" i="2"/>
  <c r="D13" i="11" s="1"/>
  <c r="D30" i="2"/>
  <c r="E38" i="6" s="1"/>
  <c r="E75" i="6" s="1"/>
  <c r="C30" i="2"/>
  <c r="D38" i="6" s="1"/>
  <c r="D75" i="6" s="1"/>
  <c r="B30" i="2"/>
  <c r="C38" i="6" s="1"/>
  <c r="C75" i="6" s="1"/>
  <c r="C29" i="2"/>
  <c r="D37" i="6" s="1"/>
  <c r="D74" i="6" s="1"/>
  <c r="B29" i="2"/>
  <c r="C37" i="6" s="1"/>
  <c r="C74" i="6" s="1"/>
  <c r="D28" i="2"/>
  <c r="E36" i="6" s="1"/>
  <c r="E73" i="6" s="1"/>
  <c r="C28" i="2"/>
  <c r="D36" i="6" s="1"/>
  <c r="D73" i="6" s="1"/>
  <c r="B28" i="2"/>
  <c r="C36" i="6" s="1"/>
  <c r="C73" i="6" s="1"/>
  <c r="D27" i="2"/>
  <c r="E35" i="6" s="1"/>
  <c r="C27" i="2"/>
  <c r="D35" i="6" s="1"/>
  <c r="B27" i="2"/>
  <c r="C35" i="6" s="1"/>
  <c r="D63" i="2"/>
  <c r="E52" i="6" s="1"/>
  <c r="C63" i="2"/>
  <c r="D62" i="2"/>
  <c r="C62" i="2"/>
  <c r="B62" i="2"/>
  <c r="D61" i="2"/>
  <c r="I61" i="2" s="1"/>
  <c r="J61" i="2" s="1"/>
  <c r="K61" i="2" s="1"/>
  <c r="L61" i="2" s="1"/>
  <c r="M61" i="2" s="1"/>
  <c r="N61" i="2" s="1"/>
  <c r="O61" i="2" s="1"/>
  <c r="P61" i="2" s="1"/>
  <c r="Q61" i="2" s="1"/>
  <c r="R61" i="2" s="1"/>
  <c r="C61" i="2"/>
  <c r="B61" i="2"/>
  <c r="C60" i="2"/>
  <c r="B60" i="2"/>
  <c r="C50" i="2"/>
  <c r="D49" i="2"/>
  <c r="C49" i="2"/>
  <c r="D48" i="2"/>
  <c r="C48" i="2"/>
  <c r="D47" i="2"/>
  <c r="E49" i="6" s="1"/>
  <c r="C47" i="2"/>
  <c r="B50" i="2"/>
  <c r="C52" i="6" s="1"/>
  <c r="C27" i="6" s="1"/>
  <c r="B49" i="2"/>
  <c r="B48" i="2"/>
  <c r="B47" i="2"/>
  <c r="D44" i="2"/>
  <c r="C44" i="2"/>
  <c r="B44" i="2"/>
  <c r="D57" i="2"/>
  <c r="C57" i="2"/>
  <c r="B57" i="2"/>
  <c r="D24" i="2"/>
  <c r="C24" i="2"/>
  <c r="B24" i="2"/>
  <c r="C51" i="6" l="1"/>
  <c r="C15" i="6" s="1"/>
  <c r="N189" i="2"/>
  <c r="D52" i="6"/>
  <c r="O21" i="2"/>
  <c r="P6" i="6" s="1"/>
  <c r="N148" i="2"/>
  <c r="Z141" i="2" s="1"/>
  <c r="D51" i="6"/>
  <c r="D15" i="6" s="1"/>
  <c r="C50" i="6"/>
  <c r="C14" i="6" s="1"/>
  <c r="E51" i="6"/>
  <c r="E15" i="6" s="1"/>
  <c r="D49" i="6"/>
  <c r="D13" i="6" s="1"/>
  <c r="C49" i="6"/>
  <c r="C13" i="6" s="1"/>
  <c r="D39" i="6"/>
  <c r="D72" i="6"/>
  <c r="D76" i="6" s="1"/>
  <c r="D89" i="6" s="1"/>
  <c r="D50" i="6"/>
  <c r="D14" i="6" s="1"/>
  <c r="E13" i="6"/>
  <c r="C39" i="6"/>
  <c r="C72" i="6"/>
  <c r="C76" i="6" s="1"/>
  <c r="C89" i="6" s="1"/>
  <c r="E72" i="6"/>
  <c r="E76" i="6" s="1"/>
  <c r="E89" i="6" s="1"/>
  <c r="E39" i="6"/>
  <c r="E50" i="6"/>
  <c r="E14" i="6" s="1"/>
  <c r="D34" i="2"/>
  <c r="D67" i="2" s="1"/>
  <c r="B35" i="2"/>
  <c r="B68" i="2" s="1"/>
  <c r="D33" i="2"/>
  <c r="B33" i="2"/>
  <c r="C36" i="2"/>
  <c r="C69" i="2" s="1"/>
  <c r="C35" i="2"/>
  <c r="C68" i="2" s="1"/>
  <c r="D35" i="2"/>
  <c r="D68" i="2" s="1"/>
  <c r="C33" i="2"/>
  <c r="B36" i="2"/>
  <c r="B69" i="2" s="1"/>
  <c r="B34" i="2"/>
  <c r="B67" i="2" s="1"/>
  <c r="D36" i="2"/>
  <c r="D69" i="2" s="1"/>
  <c r="C34" i="2"/>
  <c r="C67" i="2" s="1"/>
  <c r="I48" i="2"/>
  <c r="J48" i="2" s="1"/>
  <c r="K48" i="2" s="1"/>
  <c r="L48" i="2" s="1"/>
  <c r="M48" i="2" s="1"/>
  <c r="N48" i="2" s="1"/>
  <c r="O48" i="2" s="1"/>
  <c r="P48" i="2" s="1"/>
  <c r="Q48" i="2" s="1"/>
  <c r="R48" i="2" s="1"/>
  <c r="I62" i="2"/>
  <c r="N53" i="2"/>
  <c r="O56" i="6" s="1"/>
  <c r="M53" i="2"/>
  <c r="N56" i="6" s="1"/>
  <c r="N17" i="6" s="1"/>
  <c r="L53" i="2"/>
  <c r="M56" i="6" s="1"/>
  <c r="M17" i="6" s="1"/>
  <c r="K53" i="2"/>
  <c r="L56" i="6" s="1"/>
  <c r="L17" i="6" s="1"/>
  <c r="J53" i="2"/>
  <c r="K56" i="6" s="1"/>
  <c r="K17" i="6" s="1"/>
  <c r="H53" i="2"/>
  <c r="N54" i="2"/>
  <c r="O57" i="6" s="1"/>
  <c r="M54" i="2"/>
  <c r="N57" i="6" s="1"/>
  <c r="N20" i="6" s="1"/>
  <c r="L54" i="2"/>
  <c r="M57" i="6" s="1"/>
  <c r="M20" i="6" s="1"/>
  <c r="K54" i="2"/>
  <c r="L57" i="6" s="1"/>
  <c r="L20" i="6" s="1"/>
  <c r="J54" i="2"/>
  <c r="K57" i="6" s="1"/>
  <c r="K20" i="6" s="1"/>
  <c r="I54" i="2"/>
  <c r="I28" i="2"/>
  <c r="J19" i="6" s="1"/>
  <c r="J29" i="2"/>
  <c r="K22" i="6" s="1"/>
  <c r="B26" i="4"/>
  <c r="B22" i="4" s="1"/>
  <c r="B1" i="4"/>
  <c r="P21" i="2" l="1"/>
  <c r="Q6" i="6" s="1"/>
  <c r="H54" i="2"/>
  <c r="I57" i="6" s="1"/>
  <c r="I20" i="6" s="1"/>
  <c r="J57" i="6"/>
  <c r="J20" i="6" s="1"/>
  <c r="J36" i="6"/>
  <c r="O17" i="6"/>
  <c r="O20" i="6"/>
  <c r="O148" i="2"/>
  <c r="AA141" i="2" s="1"/>
  <c r="O54" i="2"/>
  <c r="P57" i="6" s="1"/>
  <c r="H60" i="2"/>
  <c r="I56" i="6"/>
  <c r="I17" i="6" s="1"/>
  <c r="D53" i="6"/>
  <c r="E53" i="6"/>
  <c r="C53" i="6"/>
  <c r="B66" i="2"/>
  <c r="B70" i="2" s="1"/>
  <c r="B37" i="2"/>
  <c r="D66" i="2"/>
  <c r="D70" i="2" s="1"/>
  <c r="D37" i="2"/>
  <c r="C66" i="2"/>
  <c r="C37" i="2"/>
  <c r="D82" i="2"/>
  <c r="C82" i="2"/>
  <c r="D83" i="2"/>
  <c r="C83" i="2"/>
  <c r="C81" i="2"/>
  <c r="D81" i="2"/>
  <c r="I34" i="2"/>
  <c r="I41" i="2"/>
  <c r="K41" i="2"/>
  <c r="J41" i="2"/>
  <c r="L41" i="2"/>
  <c r="K29" i="2"/>
  <c r="L22" i="6" s="1"/>
  <c r="N41" i="2"/>
  <c r="M41" i="2"/>
  <c r="O41" i="2"/>
  <c r="K16" i="6"/>
  <c r="K35" i="6" s="1"/>
  <c r="J28" i="2"/>
  <c r="K19" i="6" s="1"/>
  <c r="B91" i="4"/>
  <c r="P54" i="2" l="1"/>
  <c r="Q57" i="6" s="1"/>
  <c r="Q20" i="6" s="1"/>
  <c r="P41" i="2"/>
  <c r="Q65" i="6" s="1"/>
  <c r="Q21" i="6" s="1"/>
  <c r="Q21" i="2"/>
  <c r="R6" i="6" s="1"/>
  <c r="P148" i="2"/>
  <c r="AB141" i="2" s="1"/>
  <c r="H61" i="2"/>
  <c r="K50" i="6"/>
  <c r="K14" i="6" s="1"/>
  <c r="K43" i="6" s="1"/>
  <c r="K65" i="6"/>
  <c r="K21" i="6" s="1"/>
  <c r="P65" i="6"/>
  <c r="P21" i="6" s="1"/>
  <c r="P50" i="6"/>
  <c r="P14" i="6" s="1"/>
  <c r="L50" i="6"/>
  <c r="L14" i="6" s="1"/>
  <c r="L65" i="6"/>
  <c r="L21" i="6" s="1"/>
  <c r="H41" i="2"/>
  <c r="H48" i="2" s="1"/>
  <c r="J50" i="6"/>
  <c r="J14" i="6" s="1"/>
  <c r="J43" i="6" s="1"/>
  <c r="J65" i="6"/>
  <c r="J21" i="6" s="1"/>
  <c r="O65" i="6"/>
  <c r="O21" i="6" s="1"/>
  <c r="O50" i="6"/>
  <c r="O14" i="6" s="1"/>
  <c r="N65" i="6"/>
  <c r="N21" i="6" s="1"/>
  <c r="N50" i="6"/>
  <c r="N14" i="6" s="1"/>
  <c r="M50" i="6"/>
  <c r="M14" i="6" s="1"/>
  <c r="M65" i="6"/>
  <c r="M21" i="6" s="1"/>
  <c r="K36" i="6"/>
  <c r="P20" i="6"/>
  <c r="H34" i="2"/>
  <c r="C80" i="2"/>
  <c r="C70" i="2"/>
  <c r="D80" i="2"/>
  <c r="J33" i="2"/>
  <c r="J34" i="2"/>
  <c r="J67" i="2" s="1"/>
  <c r="I67" i="2"/>
  <c r="L29" i="2"/>
  <c r="M22" i="6" s="1"/>
  <c r="L16" i="6"/>
  <c r="L35" i="6" s="1"/>
  <c r="K28" i="2"/>
  <c r="L19" i="6" s="1"/>
  <c r="B117" i="2"/>
  <c r="J109" i="2"/>
  <c r="K109" i="2" s="1"/>
  <c r="L109" i="2" s="1"/>
  <c r="M109" i="2" s="1"/>
  <c r="N109" i="2" s="1"/>
  <c r="O109" i="2" s="1"/>
  <c r="P109" i="2" s="1"/>
  <c r="Q109" i="2" s="1"/>
  <c r="R109" i="2" s="1"/>
  <c r="B107" i="1"/>
  <c r="B105" i="1"/>
  <c r="A104" i="1"/>
  <c r="C110" i="1"/>
  <c r="C108" i="1"/>
  <c r="C105" i="1"/>
  <c r="C106" i="1"/>
  <c r="C107" i="1"/>
  <c r="C104" i="1"/>
  <c r="I6" i="1" l="1"/>
  <c r="C55" i="11"/>
  <c r="J6" i="1"/>
  <c r="D55" i="11"/>
  <c r="Q50" i="6"/>
  <c r="Q14" i="6" s="1"/>
  <c r="Q54" i="2"/>
  <c r="R57" i="6" s="1"/>
  <c r="R20" i="6" s="1"/>
  <c r="Q148" i="2"/>
  <c r="AC141" i="2" s="1"/>
  <c r="Q41" i="2"/>
  <c r="R65" i="6" s="1"/>
  <c r="R21" i="6" s="1"/>
  <c r="R21" i="2"/>
  <c r="S6" i="6" s="1"/>
  <c r="I50" i="6"/>
  <c r="I14" i="6" s="1"/>
  <c r="I43" i="6" s="1"/>
  <c r="I65" i="6"/>
  <c r="I21" i="6" s="1"/>
  <c r="L36" i="6"/>
  <c r="L43" i="6"/>
  <c r="I81" i="2"/>
  <c r="J81" i="2"/>
  <c r="K34" i="2"/>
  <c r="K67" i="2" s="1"/>
  <c r="E55" i="11" s="1"/>
  <c r="K33" i="2"/>
  <c r="M29" i="2"/>
  <c r="N22" i="6" s="1"/>
  <c r="L28" i="2"/>
  <c r="M16" i="6"/>
  <c r="M35" i="6" s="1"/>
  <c r="I42" i="1"/>
  <c r="J42" i="1" s="1"/>
  <c r="K42" i="1" s="1"/>
  <c r="L42" i="1" s="1"/>
  <c r="M42" i="1" s="1"/>
  <c r="N42" i="1" s="1"/>
  <c r="O42" i="1" s="1"/>
  <c r="P42" i="1" s="1"/>
  <c r="Q42" i="1" s="1"/>
  <c r="R42" i="1" s="1"/>
  <c r="I41" i="1"/>
  <c r="J41" i="1" s="1"/>
  <c r="K41" i="1" s="1"/>
  <c r="L41" i="1" s="1"/>
  <c r="M41" i="1" s="1"/>
  <c r="N41" i="1" s="1"/>
  <c r="O41" i="1" s="1"/>
  <c r="P41" i="1" s="1"/>
  <c r="Q41" i="1" s="1"/>
  <c r="R41" i="1" s="1"/>
  <c r="G113" i="2"/>
  <c r="F113" i="2"/>
  <c r="E113" i="2"/>
  <c r="D113" i="2"/>
  <c r="C113" i="2"/>
  <c r="B113" i="2"/>
  <c r="I63" i="1"/>
  <c r="J63" i="1" s="1"/>
  <c r="K63" i="1" s="1"/>
  <c r="L63" i="1" s="1"/>
  <c r="M63" i="1" s="1"/>
  <c r="N63" i="1" s="1"/>
  <c r="O63" i="1" s="1"/>
  <c r="P63" i="1" s="1"/>
  <c r="Q63" i="1" s="1"/>
  <c r="R63" i="1" s="1"/>
  <c r="I50" i="1"/>
  <c r="J50" i="1" s="1"/>
  <c r="K50" i="1" s="1"/>
  <c r="L50" i="1" s="1"/>
  <c r="M50" i="1" s="1"/>
  <c r="N50" i="1" s="1"/>
  <c r="O50" i="1" s="1"/>
  <c r="P50" i="1" s="1"/>
  <c r="Q50" i="1" s="1"/>
  <c r="R50" i="1" s="1"/>
  <c r="I49" i="1"/>
  <c r="J49" i="1" s="1"/>
  <c r="K49" i="1" s="1"/>
  <c r="L49" i="1" s="1"/>
  <c r="M49" i="1" s="1"/>
  <c r="N49" i="1" s="1"/>
  <c r="O49" i="1" s="1"/>
  <c r="P49" i="1" s="1"/>
  <c r="Q49" i="1" s="1"/>
  <c r="R49" i="1" s="1"/>
  <c r="I48" i="1"/>
  <c r="J48" i="1" s="1"/>
  <c r="K48" i="1" s="1"/>
  <c r="L48" i="1" s="1"/>
  <c r="M48" i="1" s="1"/>
  <c r="N48" i="1" s="1"/>
  <c r="O48" i="1" s="1"/>
  <c r="P48" i="1" s="1"/>
  <c r="Q48" i="1" s="1"/>
  <c r="R48" i="1" s="1"/>
  <c r="I47" i="1"/>
  <c r="J47" i="1" s="1"/>
  <c r="K47" i="1" s="1"/>
  <c r="J73" i="1"/>
  <c r="K73" i="1" s="1"/>
  <c r="L73" i="1" s="1"/>
  <c r="M73" i="1" s="1"/>
  <c r="N73" i="1" s="1"/>
  <c r="O73" i="1" s="1"/>
  <c r="P73" i="1" s="1"/>
  <c r="Q73" i="1" s="1"/>
  <c r="R73" i="1" s="1"/>
  <c r="I71" i="1"/>
  <c r="I62" i="1"/>
  <c r="J62" i="1" s="1"/>
  <c r="K62" i="1" s="1"/>
  <c r="L62" i="1" s="1"/>
  <c r="M62" i="1" s="1"/>
  <c r="N62" i="1" s="1"/>
  <c r="O62" i="1" s="1"/>
  <c r="P62" i="1" s="1"/>
  <c r="Q62" i="1" s="1"/>
  <c r="R62" i="1" s="1"/>
  <c r="H43" i="1"/>
  <c r="H51" i="1"/>
  <c r="H65" i="1"/>
  <c r="H60" i="1"/>
  <c r="H74" i="1"/>
  <c r="G103" i="2"/>
  <c r="F103" i="2"/>
  <c r="E103" i="2"/>
  <c r="D103" i="2"/>
  <c r="C103" i="2"/>
  <c r="B103" i="2"/>
  <c r="G102" i="2"/>
  <c r="F102" i="2"/>
  <c r="E102" i="2"/>
  <c r="C102" i="2"/>
  <c r="B102" i="2"/>
  <c r="B83" i="1"/>
  <c r="B82" i="1" s="1"/>
  <c r="B97" i="2" s="1"/>
  <c r="H18" i="1"/>
  <c r="H19" i="1"/>
  <c r="H24" i="1"/>
  <c r="H17" i="1"/>
  <c r="H13" i="1"/>
  <c r="D4" i="2"/>
  <c r="D7" i="2"/>
  <c r="C7" i="2"/>
  <c r="D6" i="2"/>
  <c r="C6" i="2"/>
  <c r="D5" i="2"/>
  <c r="C5" i="2"/>
  <c r="E64" i="1"/>
  <c r="E65" i="1" s="1"/>
  <c r="E72" i="1"/>
  <c r="E74" i="1" s="1"/>
  <c r="F64" i="1"/>
  <c r="F65" i="1" s="1"/>
  <c r="F72" i="1"/>
  <c r="F74" i="1" s="1"/>
  <c r="G64" i="1"/>
  <c r="G65" i="1" s="1"/>
  <c r="G60" i="1"/>
  <c r="G121" i="2" s="1"/>
  <c r="F60" i="1"/>
  <c r="F121" i="2" s="1"/>
  <c r="E60" i="1"/>
  <c r="E121" i="2" s="1"/>
  <c r="G72" i="1"/>
  <c r="G74" i="1" s="1"/>
  <c r="G43" i="1"/>
  <c r="F43" i="1"/>
  <c r="E43" i="1"/>
  <c r="D43" i="1"/>
  <c r="C43" i="1"/>
  <c r="G51" i="1"/>
  <c r="F51" i="1"/>
  <c r="E51" i="1"/>
  <c r="D74" i="1"/>
  <c r="B74" i="1"/>
  <c r="C74" i="1"/>
  <c r="D65" i="1"/>
  <c r="B65" i="1"/>
  <c r="C65" i="1"/>
  <c r="D60" i="1"/>
  <c r="D121" i="2" s="1"/>
  <c r="B60" i="1"/>
  <c r="B121" i="2" s="1"/>
  <c r="C60" i="1"/>
  <c r="B43" i="1"/>
  <c r="D51" i="1"/>
  <c r="B51" i="1"/>
  <c r="C51" i="1"/>
  <c r="C3" i="1"/>
  <c r="D3" i="1"/>
  <c r="E3" i="1"/>
  <c r="F3" i="1"/>
  <c r="G3" i="1"/>
  <c r="B25" i="1"/>
  <c r="B29" i="1" s="1"/>
  <c r="B32" i="1" s="1"/>
  <c r="B34" i="1" s="1"/>
  <c r="G4" i="1" l="1"/>
  <c r="G10" i="1"/>
  <c r="C10" i="1"/>
  <c r="C4" i="1"/>
  <c r="F10" i="1"/>
  <c r="F4" i="1"/>
  <c r="E4" i="1"/>
  <c r="E10" i="1"/>
  <c r="D10" i="1"/>
  <c r="D4" i="1"/>
  <c r="R50" i="6"/>
  <c r="R14" i="6" s="1"/>
  <c r="R41" i="2"/>
  <c r="S65" i="6" s="1"/>
  <c r="S21" i="6" s="1"/>
  <c r="R54" i="2"/>
  <c r="S57" i="6" s="1"/>
  <c r="S20" i="6" s="1"/>
  <c r="R148" i="2"/>
  <c r="AD141" i="2" s="1"/>
  <c r="M19" i="6"/>
  <c r="M36" i="6" s="1"/>
  <c r="M28" i="2"/>
  <c r="N28" i="2" s="1"/>
  <c r="O28" i="2" s="1"/>
  <c r="P28" i="2" s="1"/>
  <c r="Q28" i="2" s="1"/>
  <c r="R28" i="2" s="1"/>
  <c r="L48" i="5"/>
  <c r="L32" i="5"/>
  <c r="L40" i="5"/>
  <c r="G42" i="14"/>
  <c r="Z17" i="11" s="1"/>
  <c r="G60" i="14"/>
  <c r="G3" i="14"/>
  <c r="G4" i="14" s="1"/>
  <c r="G24" i="14"/>
  <c r="Z5" i="11" s="1"/>
  <c r="F42" i="14"/>
  <c r="Y17" i="11" s="1"/>
  <c r="F60" i="14"/>
  <c r="F3" i="14"/>
  <c r="F4" i="14" s="1"/>
  <c r="F24" i="14"/>
  <c r="Y5" i="11" s="1"/>
  <c r="D60" i="14"/>
  <c r="D3" i="14"/>
  <c r="D4" i="14" s="1"/>
  <c r="D42" i="14"/>
  <c r="W17" i="11" s="1"/>
  <c r="D24" i="14"/>
  <c r="W5" i="11" s="1"/>
  <c r="E42" i="14"/>
  <c r="X17" i="11" s="1"/>
  <c r="E60" i="14"/>
  <c r="E3" i="14"/>
  <c r="E4" i="14" s="1"/>
  <c r="E24" i="14"/>
  <c r="X5" i="11" s="1"/>
  <c r="C60" i="14"/>
  <c r="C3" i="14"/>
  <c r="C4" i="14" s="1"/>
  <c r="C24" i="14"/>
  <c r="V5" i="11" s="1"/>
  <c r="C42" i="14"/>
  <c r="V17" i="11" s="1"/>
  <c r="C3" i="2"/>
  <c r="J71" i="1"/>
  <c r="K81" i="2"/>
  <c r="K6" i="1"/>
  <c r="L33" i="2"/>
  <c r="L34" i="2"/>
  <c r="L67" i="2" s="1"/>
  <c r="F55" i="11" s="1"/>
  <c r="N29" i="2"/>
  <c r="O22" i="6" s="1"/>
  <c r="C121" i="2"/>
  <c r="C67" i="1"/>
  <c r="C76" i="1" s="1"/>
  <c r="N16" i="6"/>
  <c r="N35" i="6" s="1"/>
  <c r="H67" i="1"/>
  <c r="H76" i="1" s="1"/>
  <c r="I64" i="1"/>
  <c r="J64" i="1" s="1"/>
  <c r="K64" i="1" s="1"/>
  <c r="L64" i="1" s="1"/>
  <c r="M64" i="1" s="1"/>
  <c r="N64" i="1" s="1"/>
  <c r="O64" i="1" s="1"/>
  <c r="P64" i="1" s="1"/>
  <c r="Q64" i="1" s="1"/>
  <c r="R64" i="1" s="1"/>
  <c r="B89" i="2"/>
  <c r="E118" i="2"/>
  <c r="D118" i="2"/>
  <c r="C114" i="2"/>
  <c r="H52" i="1"/>
  <c r="B93" i="2"/>
  <c r="B114" i="2"/>
  <c r="D114" i="2"/>
  <c r="D3" i="2"/>
  <c r="E114" i="2"/>
  <c r="G87" i="2"/>
  <c r="F114" i="2"/>
  <c r="G89" i="2"/>
  <c r="C79" i="1"/>
  <c r="C96" i="2" s="1"/>
  <c r="G114" i="2"/>
  <c r="F89" i="2"/>
  <c r="E89" i="2"/>
  <c r="C83" i="1"/>
  <c r="C82" i="1" s="1"/>
  <c r="C97" i="2" s="1"/>
  <c r="D89" i="2"/>
  <c r="G118" i="2"/>
  <c r="C89" i="2"/>
  <c r="F118" i="2"/>
  <c r="I28" i="1" a="1"/>
  <c r="I28" i="1" s="1"/>
  <c r="H28" i="1" s="1"/>
  <c r="H103" i="2" s="1"/>
  <c r="C118" i="2"/>
  <c r="G88" i="2"/>
  <c r="G117" i="2"/>
  <c r="B108" i="2"/>
  <c r="F87" i="2"/>
  <c r="E87" i="2"/>
  <c r="F88" i="2"/>
  <c r="F117" i="2"/>
  <c r="D87" i="2"/>
  <c r="E88" i="2"/>
  <c r="B99" i="2"/>
  <c r="E117" i="2"/>
  <c r="C87" i="2"/>
  <c r="D88" i="2"/>
  <c r="D117" i="2"/>
  <c r="G90" i="2"/>
  <c r="C88" i="2"/>
  <c r="C117" i="2"/>
  <c r="F90" i="2"/>
  <c r="B88" i="2"/>
  <c r="B87" i="2"/>
  <c r="E90" i="2"/>
  <c r="D90" i="2"/>
  <c r="C90" i="2"/>
  <c r="B104" i="2"/>
  <c r="B79" i="1"/>
  <c r="B96" i="2" s="1"/>
  <c r="B90" i="2"/>
  <c r="B118" i="2"/>
  <c r="L47" i="1"/>
  <c r="H6" i="1"/>
  <c r="E67" i="1"/>
  <c r="E76" i="1" s="1"/>
  <c r="F67" i="1"/>
  <c r="F76" i="1" s="1"/>
  <c r="G67" i="1"/>
  <c r="G76" i="1" s="1"/>
  <c r="E52" i="1"/>
  <c r="F52" i="1"/>
  <c r="G52" i="1"/>
  <c r="B67" i="1"/>
  <c r="B76" i="1" s="1"/>
  <c r="C52" i="1"/>
  <c r="B52" i="1"/>
  <c r="D52" i="1"/>
  <c r="D67" i="1"/>
  <c r="D76" i="1" s="1"/>
  <c r="G20" i="1" l="1"/>
  <c r="G93" i="2" s="1"/>
  <c r="D20" i="1"/>
  <c r="C20" i="1"/>
  <c r="C7" i="14"/>
  <c r="C12" i="14" s="1"/>
  <c r="K71" i="1"/>
  <c r="L71" i="1" s="1"/>
  <c r="M71" i="1" s="1"/>
  <c r="N71" i="1" s="1"/>
  <c r="O71" i="1" s="1"/>
  <c r="P71" i="1" s="1"/>
  <c r="Q71" i="1" s="1"/>
  <c r="R71" i="1" s="1"/>
  <c r="E20" i="1"/>
  <c r="E25" i="1" s="1"/>
  <c r="E29" i="1" s="1"/>
  <c r="E32" i="1" s="1"/>
  <c r="E34" i="1" s="1"/>
  <c r="M43" i="6"/>
  <c r="F20" i="1"/>
  <c r="F25" i="1" s="1"/>
  <c r="N19" i="6"/>
  <c r="N43" i="6" s="1"/>
  <c r="S50" i="6"/>
  <c r="S14" i="6" s="1"/>
  <c r="F43" i="11"/>
  <c r="X33" i="11"/>
  <c r="G43" i="11"/>
  <c r="Y33" i="11"/>
  <c r="C14" i="5"/>
  <c r="E43" i="11"/>
  <c r="W33" i="11"/>
  <c r="D43" i="11"/>
  <c r="V33" i="11"/>
  <c r="C9" i="2"/>
  <c r="D9" i="2"/>
  <c r="H43" i="11"/>
  <c r="Z33" i="11"/>
  <c r="F9" i="2"/>
  <c r="G9" i="2"/>
  <c r="G25" i="1"/>
  <c r="D61" i="14"/>
  <c r="W34" i="11" s="1"/>
  <c r="D7" i="14"/>
  <c r="D25" i="14"/>
  <c r="D26" i="14" s="1"/>
  <c r="D43" i="14"/>
  <c r="D44" i="14" s="1"/>
  <c r="E9" i="2"/>
  <c r="E61" i="14"/>
  <c r="X34" i="11" s="1"/>
  <c r="E7" i="14"/>
  <c r="E25" i="14"/>
  <c r="E26" i="14" s="1"/>
  <c r="E43" i="14"/>
  <c r="E44" i="14" s="1"/>
  <c r="G7" i="14"/>
  <c r="G8" i="2" s="1"/>
  <c r="G61" i="14"/>
  <c r="Z34" i="11" s="1"/>
  <c r="G43" i="14"/>
  <c r="G44" i="14" s="1"/>
  <c r="G25" i="14"/>
  <c r="G26" i="14" s="1"/>
  <c r="F61" i="14"/>
  <c r="Y34" i="11" s="1"/>
  <c r="F43" i="14"/>
  <c r="F44" i="14" s="1"/>
  <c r="F25" i="14"/>
  <c r="F26" i="14" s="1"/>
  <c r="F7" i="14"/>
  <c r="C61" i="14"/>
  <c r="V34" i="11" s="1"/>
  <c r="C25" i="14"/>
  <c r="C26" i="14" s="1"/>
  <c r="C43" i="14"/>
  <c r="C44" i="14" s="1"/>
  <c r="L81" i="2"/>
  <c r="L6" i="1"/>
  <c r="M34" i="2"/>
  <c r="M67" i="2" s="1"/>
  <c r="G55" i="11" s="1"/>
  <c r="M33" i="2"/>
  <c r="O29" i="2"/>
  <c r="P22" i="6" s="1"/>
  <c r="O19" i="6"/>
  <c r="O16" i="6"/>
  <c r="O35" i="6" s="1"/>
  <c r="I65" i="1"/>
  <c r="D80" i="1"/>
  <c r="E80" i="1" s="1"/>
  <c r="D83" i="1"/>
  <c r="M47" i="1"/>
  <c r="F93" i="2" l="1"/>
  <c r="E99" i="2"/>
  <c r="E8" i="2"/>
  <c r="E104" i="2"/>
  <c r="D12" i="14"/>
  <c r="H7" i="14"/>
  <c r="I7" i="14" s="1"/>
  <c r="E108" i="2"/>
  <c r="E93" i="2"/>
  <c r="F29" i="1"/>
  <c r="F99" i="2"/>
  <c r="N36" i="6"/>
  <c r="Y7" i="11"/>
  <c r="Y6" i="11"/>
  <c r="X19" i="11"/>
  <c r="X18" i="11"/>
  <c r="D48" i="14"/>
  <c r="V18" i="11"/>
  <c r="Y19" i="11"/>
  <c r="Y18" i="11"/>
  <c r="X6" i="11"/>
  <c r="C15" i="5"/>
  <c r="C16" i="5" s="1"/>
  <c r="C22" i="5" s="1"/>
  <c r="C23" i="5" s="1"/>
  <c r="B96" i="1" s="1"/>
  <c r="Z7" i="11"/>
  <c r="Z6" i="11"/>
  <c r="Z19" i="11"/>
  <c r="Z18" i="11"/>
  <c r="W19" i="11"/>
  <c r="W18" i="11"/>
  <c r="V6" i="11"/>
  <c r="W7" i="11"/>
  <c r="W6" i="11"/>
  <c r="F62" i="14"/>
  <c r="G44" i="11"/>
  <c r="D62" i="14"/>
  <c r="E44" i="11"/>
  <c r="G62" i="14"/>
  <c r="H44" i="11"/>
  <c r="E62" i="14"/>
  <c r="X35" i="11" s="1"/>
  <c r="F44" i="11"/>
  <c r="C62" i="14"/>
  <c r="V35" i="11" s="1"/>
  <c r="D44" i="11"/>
  <c r="D25" i="1"/>
  <c r="D93" i="2"/>
  <c r="F8" i="2"/>
  <c r="D8" i="2"/>
  <c r="C25" i="1"/>
  <c r="C93" i="2"/>
  <c r="C8" i="2"/>
  <c r="G29" i="1"/>
  <c r="G99" i="2"/>
  <c r="O36" i="6"/>
  <c r="O43" i="6"/>
  <c r="M81" i="2"/>
  <c r="M6" i="1"/>
  <c r="N33" i="2"/>
  <c r="N34" i="2"/>
  <c r="N67" i="2" s="1"/>
  <c r="H55" i="11" s="1"/>
  <c r="P29" i="2"/>
  <c r="Q22" i="6" s="1"/>
  <c r="P16" i="6"/>
  <c r="P19" i="6"/>
  <c r="D79" i="1"/>
  <c r="D96" i="2" s="1"/>
  <c r="E83" i="1"/>
  <c r="D82" i="1"/>
  <c r="D97" i="2" s="1"/>
  <c r="E79" i="1"/>
  <c r="E96" i="2" s="1"/>
  <c r="F80" i="1"/>
  <c r="N47" i="1"/>
  <c r="E12" i="14" l="1"/>
  <c r="E13" i="14" s="1"/>
  <c r="I8" i="2"/>
  <c r="J7" i="14"/>
  <c r="K7" i="14" s="1"/>
  <c r="F32" i="1"/>
  <c r="F104" i="2"/>
  <c r="C48" i="14"/>
  <c r="V19" i="11"/>
  <c r="D30" i="14"/>
  <c r="H45" i="11"/>
  <c r="Z35" i="11"/>
  <c r="C30" i="14"/>
  <c r="V7" i="11"/>
  <c r="H44" i="14"/>
  <c r="E45" i="11"/>
  <c r="W35" i="11"/>
  <c r="G45" i="11"/>
  <c r="Y35" i="11"/>
  <c r="H26" i="14"/>
  <c r="X7" i="11"/>
  <c r="D66" i="14"/>
  <c r="D48" i="11" s="1"/>
  <c r="D45" i="11"/>
  <c r="C66" i="14"/>
  <c r="C48" i="11" s="1"/>
  <c r="H62" i="14"/>
  <c r="I62" i="14" s="1"/>
  <c r="Q65" i="14" s="1"/>
  <c r="C38" i="11" s="1"/>
  <c r="F45" i="11"/>
  <c r="D99" i="2"/>
  <c r="D29" i="1"/>
  <c r="C99" i="2"/>
  <c r="C29" i="1"/>
  <c r="G32" i="1"/>
  <c r="G104" i="2"/>
  <c r="H8" i="2"/>
  <c r="P36" i="6"/>
  <c r="P43" i="6"/>
  <c r="N81" i="2"/>
  <c r="N6" i="1"/>
  <c r="O34" i="2"/>
  <c r="O67" i="2" s="1"/>
  <c r="I55" i="11" s="1"/>
  <c r="Q29" i="2"/>
  <c r="R22" i="6" s="1"/>
  <c r="Q16" i="6"/>
  <c r="Q19" i="6"/>
  <c r="F83" i="1"/>
  <c r="E82" i="1"/>
  <c r="E97" i="2" s="1"/>
  <c r="F79" i="1"/>
  <c r="F96" i="2" s="1"/>
  <c r="G80" i="1"/>
  <c r="G79" i="1" s="1"/>
  <c r="G96" i="2" s="1"/>
  <c r="O47" i="1"/>
  <c r="I89" i="2" l="1"/>
  <c r="F67" i="14"/>
  <c r="G67" i="14" s="1"/>
  <c r="F34" i="1"/>
  <c r="F108" i="2"/>
  <c r="AA7" i="11"/>
  <c r="I26" i="14"/>
  <c r="Q29" i="14" s="1"/>
  <c r="AB35" i="11"/>
  <c r="I44" i="14"/>
  <c r="Q47" i="14" s="1"/>
  <c r="AA19" i="11"/>
  <c r="I45" i="11"/>
  <c r="AA35" i="11"/>
  <c r="J62" i="14"/>
  <c r="J89" i="2" s="1"/>
  <c r="E66" i="14"/>
  <c r="D104" i="2"/>
  <c r="D32" i="1"/>
  <c r="G34" i="1"/>
  <c r="G108" i="2"/>
  <c r="C32" i="1"/>
  <c r="C104" i="2"/>
  <c r="Q36" i="6"/>
  <c r="Q43" i="6"/>
  <c r="O81" i="2"/>
  <c r="O6" i="1"/>
  <c r="P34" i="2"/>
  <c r="P67" i="2" s="1"/>
  <c r="J55" i="11" s="1"/>
  <c r="R29" i="2"/>
  <c r="S22" i="6" s="1"/>
  <c r="R19" i="6"/>
  <c r="R16" i="6"/>
  <c r="G83" i="1"/>
  <c r="G82" i="1" s="1"/>
  <c r="G97" i="2" s="1"/>
  <c r="F82" i="1"/>
  <c r="F97" i="2" s="1"/>
  <c r="P47" i="1"/>
  <c r="K49" i="14" l="1"/>
  <c r="F49" i="14"/>
  <c r="I88" i="2"/>
  <c r="C10" i="11"/>
  <c r="F31" i="14"/>
  <c r="C36" i="11"/>
  <c r="I87" i="2"/>
  <c r="J8" i="2"/>
  <c r="AB19" i="11"/>
  <c r="E48" i="14"/>
  <c r="E49" i="14" s="1"/>
  <c r="AB7" i="11"/>
  <c r="E30" i="14"/>
  <c r="E31" i="14" s="1"/>
  <c r="E67" i="14"/>
  <c r="C50" i="11" s="1"/>
  <c r="E48" i="11"/>
  <c r="C35" i="11"/>
  <c r="K62" i="14"/>
  <c r="K89" i="2" s="1"/>
  <c r="D34" i="1"/>
  <c r="D108" i="2"/>
  <c r="C34" i="1"/>
  <c r="C108" i="2"/>
  <c r="R36" i="6"/>
  <c r="R43" i="6"/>
  <c r="P81" i="2"/>
  <c r="P6" i="1"/>
  <c r="Q34" i="2"/>
  <c r="Q67" i="2" s="1"/>
  <c r="K55" i="11" s="1"/>
  <c r="S16" i="6"/>
  <c r="S19" i="6"/>
  <c r="Q47" i="1"/>
  <c r="H67" i="14" l="1"/>
  <c r="L62" i="14" s="1"/>
  <c r="L89" i="2" s="1"/>
  <c r="D36" i="11"/>
  <c r="C22" i="11"/>
  <c r="H31" i="14"/>
  <c r="E8" i="11" s="1"/>
  <c r="G31" i="14"/>
  <c r="D8" i="11" s="1"/>
  <c r="I31" i="14"/>
  <c r="F8" i="11" s="1"/>
  <c r="J31" i="14"/>
  <c r="L7" i="14"/>
  <c r="K8" i="2"/>
  <c r="D35" i="11"/>
  <c r="S36" i="6"/>
  <c r="S43" i="6"/>
  <c r="Q81" i="2"/>
  <c r="Q6" i="1"/>
  <c r="R34" i="2"/>
  <c r="R67" i="2" s="1"/>
  <c r="L55" i="11" s="1"/>
  <c r="R47" i="1"/>
  <c r="I67" i="14" l="1"/>
  <c r="M62" i="14" s="1"/>
  <c r="M89" i="2" s="1"/>
  <c r="E36" i="11"/>
  <c r="K31" i="14"/>
  <c r="G8" i="11"/>
  <c r="C8" i="11"/>
  <c r="J26" i="14"/>
  <c r="M7" i="14"/>
  <c r="L8" i="2"/>
  <c r="E35" i="11"/>
  <c r="R81" i="2"/>
  <c r="R6" i="1"/>
  <c r="J67" i="14" l="1"/>
  <c r="K67" i="14" s="1"/>
  <c r="F36" i="11"/>
  <c r="J87" i="2"/>
  <c r="C7" i="11"/>
  <c r="L31" i="14"/>
  <c r="H8" i="11"/>
  <c r="K26" i="14"/>
  <c r="N7" i="14"/>
  <c r="N62" i="14"/>
  <c r="F35" i="11"/>
  <c r="M8" i="2"/>
  <c r="G36" i="11" l="1"/>
  <c r="K87" i="2"/>
  <c r="D7" i="11"/>
  <c r="L26" i="14"/>
  <c r="M31" i="14"/>
  <c r="I8" i="11"/>
  <c r="N89" i="2"/>
  <c r="O62" i="14"/>
  <c r="O7" i="14"/>
  <c r="G35" i="11"/>
  <c r="N8" i="2"/>
  <c r="L67" i="14" l="1"/>
  <c r="H36" i="11"/>
  <c r="J8" i="11"/>
  <c r="N31" i="14"/>
  <c r="K8" i="11" s="1"/>
  <c r="L87" i="2"/>
  <c r="M26" i="14"/>
  <c r="E7" i="11"/>
  <c r="O89" i="2"/>
  <c r="P62" i="14"/>
  <c r="P7" i="14"/>
  <c r="H35" i="11"/>
  <c r="O8" i="2"/>
  <c r="M67" i="14" l="1"/>
  <c r="Q62" i="14" s="1"/>
  <c r="I36" i="11"/>
  <c r="M87" i="2"/>
  <c r="N26" i="14"/>
  <c r="F7" i="11"/>
  <c r="P89" i="2"/>
  <c r="Q7" i="14"/>
  <c r="P8" i="2"/>
  <c r="I35" i="11"/>
  <c r="J36" i="11" l="1"/>
  <c r="N67" i="14"/>
  <c r="K36" i="11" s="1"/>
  <c r="G7" i="11"/>
  <c r="N87" i="2"/>
  <c r="O26" i="14"/>
  <c r="Q89" i="2"/>
  <c r="R7" i="14"/>
  <c r="J35" i="11"/>
  <c r="Q8" i="2"/>
  <c r="R62" i="14" l="1"/>
  <c r="R89" i="2" s="1"/>
  <c r="O87" i="2"/>
  <c r="P26" i="14"/>
  <c r="H7" i="11"/>
  <c r="R8" i="2"/>
  <c r="K35" i="11" l="1"/>
  <c r="Q26" i="14"/>
  <c r="P87" i="2"/>
  <c r="I7" i="11"/>
  <c r="R26" i="14" l="1"/>
  <c r="J7" i="11"/>
  <c r="Q87" i="2"/>
  <c r="R87" i="2" l="1"/>
  <c r="K7" i="11"/>
  <c r="K25" i="9" l="1"/>
  <c r="L25" i="9" l="1"/>
  <c r="K14" i="9"/>
  <c r="K15" i="9" s="1"/>
  <c r="K16" i="9" s="1"/>
  <c r="O14" i="2" s="1"/>
  <c r="O20" i="2" l="1"/>
  <c r="P5" i="6" s="1"/>
  <c r="P13" i="11"/>
  <c r="L14" i="9"/>
  <c r="L15" i="9" s="1"/>
  <c r="L16" i="9" s="1"/>
  <c r="P14" i="2" s="1"/>
  <c r="M16" i="9" l="1"/>
  <c r="O189" i="2"/>
  <c r="O33" i="2"/>
  <c r="O53" i="2"/>
  <c r="P56" i="6" s="1"/>
  <c r="P17" i="6" s="1"/>
  <c r="P20" i="2"/>
  <c r="Q5" i="6" s="1"/>
  <c r="Q13" i="11"/>
  <c r="P35" i="6"/>
  <c r="Q14" i="2" l="1"/>
  <c r="R13" i="11" s="1"/>
  <c r="P53" i="2"/>
  <c r="Q56" i="6" s="1"/>
  <c r="Q17" i="6" s="1"/>
  <c r="P189" i="2"/>
  <c r="P33" i="2"/>
  <c r="Q35" i="6"/>
  <c r="Q20" i="2" l="1"/>
  <c r="R5" i="6" s="1"/>
  <c r="R35" i="6" s="1"/>
  <c r="Q189" i="2" l="1"/>
  <c r="R20" i="2"/>
  <c r="S5" i="6" s="1"/>
  <c r="S35" i="6" s="1"/>
  <c r="Q53" i="2"/>
  <c r="R56" i="6" s="1"/>
  <c r="R17" i="6" s="1"/>
  <c r="Q33" i="2"/>
  <c r="I40" i="2"/>
  <c r="I66" i="2" s="1"/>
  <c r="J47" i="2"/>
  <c r="J40" i="2" s="1"/>
  <c r="R189" i="2" l="1"/>
  <c r="R33" i="2"/>
  <c r="R53" i="2"/>
  <c r="S56" i="6" s="1"/>
  <c r="S17" i="6" s="1"/>
  <c r="I80" i="2"/>
  <c r="C54" i="11"/>
  <c r="I5" i="1"/>
  <c r="H5" i="1" s="1"/>
  <c r="K49" i="6"/>
  <c r="K64" i="6"/>
  <c r="J66" i="2"/>
  <c r="D54" i="11" s="1"/>
  <c r="K47" i="2"/>
  <c r="J64" i="6"/>
  <c r="J49" i="6"/>
  <c r="H40" i="2"/>
  <c r="J80" i="2" l="1"/>
  <c r="J5" i="1"/>
  <c r="K18" i="6"/>
  <c r="J13" i="6"/>
  <c r="J42" i="6" s="1"/>
  <c r="J18" i="6"/>
  <c r="K40" i="2"/>
  <c r="L47" i="2"/>
  <c r="I64" i="6"/>
  <c r="I18" i="6" s="1"/>
  <c r="I49" i="6"/>
  <c r="H47" i="2"/>
  <c r="K13" i="6"/>
  <c r="K42" i="6" s="1"/>
  <c r="I13" i="6" l="1"/>
  <c r="I42" i="6" s="1"/>
  <c r="L40" i="2"/>
  <c r="M47" i="2"/>
  <c r="L49" i="6"/>
  <c r="L64" i="6"/>
  <c r="K66" i="2"/>
  <c r="E54" i="11" s="1"/>
  <c r="M40" i="2" l="1"/>
  <c r="N47" i="2"/>
  <c r="L13" i="6"/>
  <c r="L42" i="6" s="1"/>
  <c r="M49" i="6"/>
  <c r="M64" i="6"/>
  <c r="L66" i="2"/>
  <c r="F54" i="11" s="1"/>
  <c r="K80" i="2"/>
  <c r="K5" i="1"/>
  <c r="L18" i="6"/>
  <c r="N40" i="2" l="1"/>
  <c r="O47" i="2"/>
  <c r="M18" i="6"/>
  <c r="M13" i="6"/>
  <c r="M42" i="6" s="1"/>
  <c r="L80" i="2"/>
  <c r="L5" i="1"/>
  <c r="N49" i="6"/>
  <c r="N64" i="6"/>
  <c r="M66" i="2"/>
  <c r="G54" i="11" s="1"/>
  <c r="M80" i="2" l="1"/>
  <c r="M5" i="1"/>
  <c r="N18" i="6"/>
  <c r="P47" i="2"/>
  <c r="O40" i="2"/>
  <c r="N13" i="6"/>
  <c r="N42" i="6" s="1"/>
  <c r="O49" i="6"/>
  <c r="N66" i="2"/>
  <c r="H54" i="11" s="1"/>
  <c r="O64" i="6"/>
  <c r="P40" i="2" l="1"/>
  <c r="Q47" i="2"/>
  <c r="P49" i="6"/>
  <c r="O66" i="2"/>
  <c r="I54" i="11" s="1"/>
  <c r="P64" i="6"/>
  <c r="O18" i="6"/>
  <c r="O13" i="6"/>
  <c r="O42" i="6" s="1"/>
  <c r="N80" i="2"/>
  <c r="N5" i="1"/>
  <c r="O5" i="1" l="1"/>
  <c r="O80" i="2"/>
  <c r="P18" i="6"/>
  <c r="Q40" i="2"/>
  <c r="R47" i="2"/>
  <c r="R40" i="2" s="1"/>
  <c r="P13" i="6"/>
  <c r="P42" i="6" s="1"/>
  <c r="Q49" i="6"/>
  <c r="P66" i="2"/>
  <c r="J54" i="11" s="1"/>
  <c r="Q64" i="6"/>
  <c r="P80" i="2" l="1"/>
  <c r="P5" i="1"/>
  <c r="R49" i="6"/>
  <c r="Q66" i="2"/>
  <c r="K54" i="11" s="1"/>
  <c r="R64" i="6"/>
  <c r="Q13" i="6"/>
  <c r="Q42" i="6" s="1"/>
  <c r="S49" i="6"/>
  <c r="S64" i="6"/>
  <c r="R66" i="2"/>
  <c r="L54" i="11" s="1"/>
  <c r="Q18" i="6"/>
  <c r="Q80" i="2" l="1"/>
  <c r="Q5" i="1"/>
  <c r="R80" i="2"/>
  <c r="R5" i="1"/>
  <c r="R13" i="6"/>
  <c r="R42" i="6" s="1"/>
  <c r="R18" i="6"/>
  <c r="S18" i="6"/>
  <c r="S13" i="6"/>
  <c r="S42" i="6" s="1"/>
  <c r="J44" i="14" l="1"/>
  <c r="G49" i="14"/>
  <c r="C20" i="11"/>
  <c r="K44" i="14" l="1"/>
  <c r="H49" i="14"/>
  <c r="I49" i="14" s="1"/>
  <c r="J49" i="14" s="1"/>
  <c r="D20" i="11"/>
  <c r="J88" i="2"/>
  <c r="C19" i="11"/>
  <c r="L49" i="14" l="1"/>
  <c r="L44" i="14"/>
  <c r="E20" i="11"/>
  <c r="K88" i="2"/>
  <c r="D19" i="11"/>
  <c r="M49" i="14" l="1"/>
  <c r="M44" i="14"/>
  <c r="F20" i="11"/>
  <c r="L88" i="2"/>
  <c r="E19" i="11"/>
  <c r="N49" i="14" l="1"/>
  <c r="M88" i="2"/>
  <c r="F19" i="11"/>
  <c r="N44" i="14"/>
  <c r="O44" i="14" s="1"/>
  <c r="P44" i="14" s="1"/>
  <c r="Q44" i="14" s="1"/>
  <c r="G20" i="11"/>
  <c r="R44" i="14" l="1"/>
  <c r="H19" i="11"/>
  <c r="O88" i="2"/>
  <c r="H20" i="11"/>
  <c r="N88" i="2"/>
  <c r="G19" i="11"/>
  <c r="I19" i="11" l="1"/>
  <c r="P88" i="2"/>
  <c r="I20" i="11"/>
  <c r="J19" i="11" l="1"/>
  <c r="Q88" i="2"/>
  <c r="K20" i="11"/>
  <c r="J20" i="11"/>
  <c r="R88" i="2" l="1"/>
  <c r="K19" i="11"/>
  <c r="J28" i="1" a="1"/>
  <c r="J28" i="1" s="1"/>
  <c r="K28" i="1" a="1"/>
  <c r="K28" i="1" s="1"/>
  <c r="L28" i="1" a="1"/>
  <c r="L28" i="1" s="1"/>
  <c r="M28" i="1" a="1"/>
  <c r="M28" i="1" s="1"/>
  <c r="N28" i="1" a="1"/>
  <c r="N28" i="1" s="1"/>
  <c r="O28" i="1" a="1"/>
  <c r="O28" i="1" s="1"/>
  <c r="P28" i="1" a="1"/>
  <c r="P28" i="1" s="1"/>
  <c r="Q28" i="1" a="1"/>
  <c r="Q28" i="1" s="1"/>
  <c r="R28" i="1" a="1"/>
  <c r="R28" i="1" s="1"/>
  <c r="J65" i="1"/>
  <c r="K65" i="1"/>
  <c r="L65" i="1"/>
  <c r="M65" i="1"/>
  <c r="N65" i="1"/>
  <c r="O65" i="1"/>
  <c r="P65" i="1"/>
  <c r="Q65" i="1"/>
  <c r="R65" i="1"/>
  <c r="I3" i="18" l="1"/>
  <c r="I36" i="18" l="1"/>
  <c r="I57" i="18"/>
  <c r="I86" i="18" l="1"/>
  <c r="I64" i="18"/>
  <c r="J86" i="18"/>
  <c r="I85" i="18"/>
  <c r="I35" i="18"/>
  <c r="I40" i="18" s="1"/>
  <c r="I49" i="18" s="1"/>
  <c r="J85" i="18"/>
  <c r="I22" i="18" l="1"/>
  <c r="J22" i="18"/>
  <c r="C53" i="13"/>
  <c r="E53" i="13"/>
  <c r="C54" i="13"/>
  <c r="E54" i="13"/>
  <c r="F54" i="13"/>
  <c r="G54" i="13"/>
  <c r="C55" i="13"/>
  <c r="E55" i="13"/>
  <c r="F55" i="13"/>
  <c r="G55" i="13"/>
  <c r="C56" i="13"/>
  <c r="E56" i="13"/>
  <c r="F56" i="13"/>
  <c r="G56" i="13"/>
  <c r="C57" i="13"/>
  <c r="E57" i="13"/>
  <c r="F57" i="13"/>
  <c r="G57" i="13"/>
  <c r="C58" i="13"/>
  <c r="E58" i="13"/>
  <c r="F58" i="13"/>
  <c r="G58" i="13"/>
  <c r="C59" i="13"/>
  <c r="E59" i="13"/>
  <c r="F59" i="13"/>
  <c r="G59" i="13"/>
  <c r="C60" i="13"/>
  <c r="E60" i="13"/>
  <c r="F60" i="13"/>
  <c r="G60" i="13"/>
  <c r="C61" i="13"/>
  <c r="E61" i="13"/>
  <c r="F61" i="13"/>
  <c r="G61" i="13"/>
  <c r="C62" i="13"/>
  <c r="E62" i="13"/>
  <c r="F62" i="13"/>
  <c r="G62" i="13"/>
  <c r="C63" i="13"/>
  <c r="E63" i="13"/>
  <c r="F63" i="13"/>
  <c r="G63" i="13"/>
  <c r="B66" i="13" a="1"/>
  <c r="B66" i="13"/>
  <c r="B67" i="13" a="1"/>
  <c r="B67" i="13"/>
  <c r="H3" i="14"/>
  <c r="I3" i="14"/>
  <c r="J3" i="14"/>
  <c r="K3" i="14"/>
  <c r="L3" i="14"/>
  <c r="M3" i="14"/>
  <c r="N3" i="14"/>
  <c r="O3" i="14"/>
  <c r="P3" i="14"/>
  <c r="Q3" i="14"/>
  <c r="R3" i="14"/>
  <c r="H4" i="14"/>
  <c r="I4" i="14"/>
  <c r="J4" i="14"/>
  <c r="K4" i="14"/>
  <c r="L4" i="14"/>
  <c r="M4" i="14"/>
  <c r="N4" i="14"/>
  <c r="O4" i="14"/>
  <c r="P4" i="14"/>
  <c r="Q4" i="14"/>
  <c r="R4" i="14"/>
  <c r="H5" i="14"/>
  <c r="I5" i="14"/>
  <c r="J5" i="14"/>
  <c r="K5" i="14"/>
  <c r="L5" i="14"/>
  <c r="M5" i="14"/>
  <c r="N5" i="14"/>
  <c r="O5" i="14"/>
  <c r="P5" i="14"/>
  <c r="Q5" i="14"/>
  <c r="R5" i="14"/>
  <c r="H6" i="14"/>
  <c r="I6" i="14"/>
  <c r="J6" i="14"/>
  <c r="K6" i="14"/>
  <c r="L6" i="14"/>
  <c r="M6" i="14"/>
  <c r="N6" i="14"/>
  <c r="O6" i="14"/>
  <c r="P6" i="14"/>
  <c r="Q6" i="14"/>
  <c r="R6" i="14"/>
  <c r="H8" i="14"/>
  <c r="I8" i="14"/>
  <c r="J8" i="14"/>
  <c r="K8" i="14"/>
  <c r="L8" i="14"/>
  <c r="M8" i="14"/>
  <c r="N8" i="14"/>
  <c r="O8" i="14"/>
  <c r="P8" i="14"/>
  <c r="Q8" i="14"/>
  <c r="R8" i="14"/>
  <c r="H24" i="14"/>
  <c r="I24" i="14"/>
  <c r="J24" i="14"/>
  <c r="K24" i="14"/>
  <c r="L24" i="14"/>
  <c r="M24" i="14"/>
  <c r="N24" i="14"/>
  <c r="O24" i="14"/>
  <c r="P24" i="14"/>
  <c r="Q24" i="14"/>
  <c r="R24" i="14"/>
  <c r="H25" i="14"/>
  <c r="I25" i="14"/>
  <c r="J25" i="14"/>
  <c r="K25" i="14"/>
  <c r="L25" i="14"/>
  <c r="M25" i="14"/>
  <c r="N25" i="14"/>
  <c r="O25" i="14"/>
  <c r="P25" i="14"/>
  <c r="Q25" i="14"/>
  <c r="R25" i="14"/>
  <c r="H42" i="14"/>
  <c r="I42" i="14"/>
  <c r="J42" i="14"/>
  <c r="K42" i="14"/>
  <c r="L42" i="14"/>
  <c r="M42" i="14"/>
  <c r="N42" i="14"/>
  <c r="O42" i="14"/>
  <c r="P42" i="14"/>
  <c r="Q42" i="14"/>
  <c r="R42" i="14"/>
  <c r="H43" i="14"/>
  <c r="I43" i="14"/>
  <c r="J43" i="14"/>
  <c r="K43" i="14"/>
  <c r="L43" i="14"/>
  <c r="M43" i="14"/>
  <c r="N43" i="14"/>
  <c r="O43" i="14"/>
  <c r="P43" i="14"/>
  <c r="Q43" i="14"/>
  <c r="R43" i="14"/>
  <c r="H60" i="14"/>
  <c r="I60" i="14"/>
  <c r="J60" i="14"/>
  <c r="K60" i="14"/>
  <c r="L60" i="14"/>
  <c r="M60" i="14"/>
  <c r="N60" i="14"/>
  <c r="O60" i="14"/>
  <c r="P60" i="14"/>
  <c r="Q60" i="14"/>
  <c r="R60" i="14"/>
  <c r="H61" i="14"/>
  <c r="I61" i="14"/>
  <c r="J61" i="14"/>
  <c r="K61" i="14"/>
  <c r="L61" i="14"/>
  <c r="M61" i="14"/>
  <c r="N61" i="14"/>
  <c r="O61" i="14"/>
  <c r="P61" i="14"/>
  <c r="Q61" i="14"/>
  <c r="R61" i="14"/>
  <c r="I7" i="6"/>
  <c r="J7" i="6"/>
  <c r="K7" i="6"/>
  <c r="L7" i="6"/>
  <c r="M7" i="6"/>
  <c r="N7" i="6"/>
  <c r="O7" i="6"/>
  <c r="P7" i="6"/>
  <c r="Q7" i="6"/>
  <c r="R7" i="6"/>
  <c r="S7" i="6"/>
  <c r="I8" i="6"/>
  <c r="J8" i="6"/>
  <c r="K8" i="6"/>
  <c r="L8" i="6"/>
  <c r="M8" i="6"/>
  <c r="N8" i="6"/>
  <c r="O8" i="6"/>
  <c r="P8" i="6"/>
  <c r="Q8" i="6"/>
  <c r="R8" i="6"/>
  <c r="S8" i="6"/>
  <c r="I9" i="6"/>
  <c r="J9" i="6"/>
  <c r="K9" i="6"/>
  <c r="L9" i="6"/>
  <c r="M9" i="6"/>
  <c r="N9" i="6"/>
  <c r="O9" i="6"/>
  <c r="P9" i="6"/>
  <c r="Q9" i="6"/>
  <c r="R9" i="6"/>
  <c r="S9" i="6"/>
  <c r="I10" i="6"/>
  <c r="J10" i="6"/>
  <c r="K10" i="6"/>
  <c r="L10" i="6"/>
  <c r="M10" i="6"/>
  <c r="N10" i="6"/>
  <c r="O10" i="6"/>
  <c r="P10" i="6"/>
  <c r="Q10" i="6"/>
  <c r="R10" i="6"/>
  <c r="S10" i="6"/>
  <c r="I11" i="6"/>
  <c r="J11" i="6"/>
  <c r="K11" i="6"/>
  <c r="L11" i="6"/>
  <c r="M11" i="6"/>
  <c r="N11" i="6"/>
  <c r="O11" i="6"/>
  <c r="P11" i="6"/>
  <c r="Q11" i="6"/>
  <c r="R11" i="6"/>
  <c r="S11" i="6"/>
  <c r="I12" i="6"/>
  <c r="J12" i="6"/>
  <c r="K12" i="6"/>
  <c r="L12" i="6"/>
  <c r="M12" i="6"/>
  <c r="N12" i="6"/>
  <c r="O12" i="6"/>
  <c r="P12" i="6"/>
  <c r="Q12" i="6"/>
  <c r="R12" i="6"/>
  <c r="S12" i="6"/>
  <c r="I15" i="6"/>
  <c r="J15" i="6"/>
  <c r="K15" i="6"/>
  <c r="L15" i="6"/>
  <c r="M15" i="6"/>
  <c r="N15" i="6"/>
  <c r="O15" i="6"/>
  <c r="P15" i="6"/>
  <c r="Q15" i="6"/>
  <c r="R15" i="6"/>
  <c r="S15" i="6"/>
  <c r="I23" i="6"/>
  <c r="J23" i="6"/>
  <c r="K23" i="6"/>
  <c r="L23" i="6"/>
  <c r="M23" i="6"/>
  <c r="N23" i="6"/>
  <c r="O23" i="6"/>
  <c r="P23" i="6"/>
  <c r="Q23" i="6"/>
  <c r="R23" i="6"/>
  <c r="S23" i="6"/>
  <c r="I24" i="6"/>
  <c r="J24" i="6"/>
  <c r="K24" i="6"/>
  <c r="L24" i="6"/>
  <c r="M24" i="6"/>
  <c r="N24" i="6"/>
  <c r="O24" i="6"/>
  <c r="P24" i="6"/>
  <c r="Q24" i="6"/>
  <c r="R24" i="6"/>
  <c r="S24" i="6"/>
  <c r="I26" i="6"/>
  <c r="J26" i="6"/>
  <c r="K26" i="6"/>
  <c r="L26" i="6"/>
  <c r="M26" i="6"/>
  <c r="N26" i="6"/>
  <c r="O26" i="6"/>
  <c r="P26" i="6"/>
  <c r="Q26" i="6"/>
  <c r="R26" i="6"/>
  <c r="S26" i="6"/>
  <c r="I27" i="6"/>
  <c r="J27" i="6"/>
  <c r="K27" i="6"/>
  <c r="L27" i="6"/>
  <c r="M27" i="6"/>
  <c r="N27" i="6"/>
  <c r="O27" i="6"/>
  <c r="P27" i="6"/>
  <c r="Q27" i="6"/>
  <c r="R27" i="6"/>
  <c r="S27" i="6"/>
  <c r="I37" i="6"/>
  <c r="J37" i="6"/>
  <c r="K37" i="6"/>
  <c r="L37" i="6"/>
  <c r="M37" i="6"/>
  <c r="N37" i="6"/>
  <c r="O37" i="6"/>
  <c r="P37" i="6"/>
  <c r="Q37" i="6"/>
  <c r="R37" i="6"/>
  <c r="S37" i="6"/>
  <c r="I38" i="6"/>
  <c r="J38" i="6"/>
  <c r="K38" i="6"/>
  <c r="L38" i="6"/>
  <c r="M38" i="6"/>
  <c r="N38" i="6"/>
  <c r="O38" i="6"/>
  <c r="P38" i="6"/>
  <c r="Q38" i="6"/>
  <c r="R38" i="6"/>
  <c r="S38" i="6"/>
  <c r="I39" i="6"/>
  <c r="J39" i="6"/>
  <c r="K39" i="6"/>
  <c r="L39" i="6"/>
  <c r="M39" i="6"/>
  <c r="N39" i="6"/>
  <c r="O39" i="6"/>
  <c r="P39" i="6"/>
  <c r="Q39" i="6"/>
  <c r="R39" i="6"/>
  <c r="S39" i="6"/>
  <c r="I44" i="6"/>
  <c r="J44" i="6"/>
  <c r="K44" i="6"/>
  <c r="L44" i="6"/>
  <c r="M44" i="6"/>
  <c r="N44" i="6"/>
  <c r="O44" i="6"/>
  <c r="P44" i="6"/>
  <c r="Q44" i="6"/>
  <c r="R44" i="6"/>
  <c r="S44" i="6"/>
  <c r="I45" i="6"/>
  <c r="J45" i="6"/>
  <c r="K45" i="6"/>
  <c r="L45" i="6"/>
  <c r="M45" i="6"/>
  <c r="N45" i="6"/>
  <c r="O45" i="6"/>
  <c r="P45" i="6"/>
  <c r="Q45" i="6"/>
  <c r="R45" i="6"/>
  <c r="S45" i="6"/>
  <c r="I46" i="6"/>
  <c r="J46" i="6"/>
  <c r="K46" i="6"/>
  <c r="L46" i="6"/>
  <c r="M46" i="6"/>
  <c r="N46" i="6"/>
  <c r="O46" i="6"/>
  <c r="P46" i="6"/>
  <c r="Q46" i="6"/>
  <c r="R46" i="6"/>
  <c r="S46" i="6"/>
  <c r="I51" i="6"/>
  <c r="J51" i="6"/>
  <c r="K51" i="6"/>
  <c r="L51" i="6"/>
  <c r="M51" i="6"/>
  <c r="N51" i="6"/>
  <c r="O51" i="6"/>
  <c r="P51" i="6"/>
  <c r="Q51" i="6"/>
  <c r="R51" i="6"/>
  <c r="S51" i="6"/>
  <c r="I52" i="6"/>
  <c r="J52" i="6"/>
  <c r="K52" i="6"/>
  <c r="L52" i="6"/>
  <c r="M52" i="6"/>
  <c r="N52" i="6"/>
  <c r="O52" i="6"/>
  <c r="P52" i="6"/>
  <c r="Q52" i="6"/>
  <c r="R52" i="6"/>
  <c r="S52" i="6"/>
  <c r="I53" i="6"/>
  <c r="J53" i="6"/>
  <c r="K53" i="6"/>
  <c r="L53" i="6"/>
  <c r="M53" i="6"/>
  <c r="N53" i="6"/>
  <c r="O53" i="6"/>
  <c r="P53" i="6"/>
  <c r="Q53" i="6"/>
  <c r="R53" i="6"/>
  <c r="S53" i="6"/>
  <c r="I58" i="6"/>
  <c r="J58" i="6"/>
  <c r="K58" i="6"/>
  <c r="L58" i="6"/>
  <c r="M58" i="6"/>
  <c r="N58" i="6"/>
  <c r="O58" i="6"/>
  <c r="P58" i="6"/>
  <c r="Q58" i="6"/>
  <c r="R58" i="6"/>
  <c r="S58" i="6"/>
  <c r="I59" i="6"/>
  <c r="J59" i="6"/>
  <c r="K59" i="6"/>
  <c r="L59" i="6"/>
  <c r="M59" i="6"/>
  <c r="N59" i="6"/>
  <c r="O59" i="6"/>
  <c r="P59" i="6"/>
  <c r="Q59" i="6"/>
  <c r="R59" i="6"/>
  <c r="S59" i="6"/>
  <c r="I60" i="6"/>
  <c r="J60" i="6"/>
  <c r="K60" i="6"/>
  <c r="L60" i="6"/>
  <c r="M60" i="6"/>
  <c r="N60" i="6"/>
  <c r="O60" i="6"/>
  <c r="P60" i="6"/>
  <c r="Q60" i="6"/>
  <c r="R60" i="6"/>
  <c r="S60" i="6"/>
  <c r="I66" i="6"/>
  <c r="J66" i="6"/>
  <c r="K66" i="6"/>
  <c r="L66" i="6"/>
  <c r="M66" i="6"/>
  <c r="N66" i="6"/>
  <c r="O66" i="6"/>
  <c r="P66" i="6"/>
  <c r="Q66" i="6"/>
  <c r="R66" i="6"/>
  <c r="S66" i="6"/>
  <c r="I67" i="6"/>
  <c r="J67" i="6"/>
  <c r="K67" i="6"/>
  <c r="L67" i="6"/>
  <c r="M67" i="6"/>
  <c r="N67" i="6"/>
  <c r="O67" i="6"/>
  <c r="P67" i="6"/>
  <c r="Q67" i="6"/>
  <c r="R67" i="6"/>
  <c r="S67" i="6"/>
  <c r="I68" i="6"/>
  <c r="J68" i="6"/>
  <c r="K68" i="6"/>
  <c r="L68" i="6"/>
  <c r="M68" i="6"/>
  <c r="N68" i="6"/>
  <c r="O68" i="6"/>
  <c r="P68" i="6"/>
  <c r="Q68" i="6"/>
  <c r="R68" i="6"/>
  <c r="S68" i="6"/>
  <c r="H9" i="2"/>
  <c r="I9" i="2"/>
  <c r="J9" i="2"/>
  <c r="K9" i="2"/>
  <c r="L9" i="2"/>
  <c r="M9" i="2"/>
  <c r="N9" i="2"/>
  <c r="O9" i="2"/>
  <c r="P9" i="2"/>
  <c r="Q9" i="2"/>
  <c r="R9" i="2"/>
  <c r="I16" i="2"/>
  <c r="J16" i="2"/>
  <c r="K16" i="2"/>
  <c r="L16" i="2"/>
  <c r="M16" i="2"/>
  <c r="N16" i="2"/>
  <c r="O16" i="2"/>
  <c r="P16" i="2"/>
  <c r="Q16" i="2"/>
  <c r="R16" i="2"/>
  <c r="I17" i="2"/>
  <c r="J17" i="2"/>
  <c r="K17" i="2"/>
  <c r="L17" i="2"/>
  <c r="M17" i="2"/>
  <c r="N17" i="2"/>
  <c r="O17" i="2"/>
  <c r="P17" i="2"/>
  <c r="Q17" i="2"/>
  <c r="R17" i="2"/>
  <c r="H22" i="2"/>
  <c r="I22" i="2"/>
  <c r="J22" i="2"/>
  <c r="K22" i="2"/>
  <c r="L22" i="2"/>
  <c r="M22" i="2"/>
  <c r="N22" i="2"/>
  <c r="O22" i="2"/>
  <c r="P22" i="2"/>
  <c r="Q22" i="2"/>
  <c r="R22" i="2"/>
  <c r="H23" i="2"/>
  <c r="I23" i="2"/>
  <c r="J23" i="2"/>
  <c r="K23" i="2"/>
  <c r="L23" i="2"/>
  <c r="M23" i="2"/>
  <c r="N23" i="2"/>
  <c r="O23" i="2"/>
  <c r="P23" i="2"/>
  <c r="Q23" i="2"/>
  <c r="R23" i="2"/>
  <c r="H24" i="2"/>
  <c r="I24" i="2"/>
  <c r="J24" i="2"/>
  <c r="K24" i="2"/>
  <c r="L24" i="2"/>
  <c r="M24" i="2"/>
  <c r="N24" i="2"/>
  <c r="O24" i="2"/>
  <c r="P24" i="2"/>
  <c r="Q24" i="2"/>
  <c r="R24" i="2"/>
  <c r="H35" i="2"/>
  <c r="I35" i="2"/>
  <c r="J35" i="2"/>
  <c r="K35" i="2"/>
  <c r="L35" i="2"/>
  <c r="M35" i="2"/>
  <c r="N35" i="2"/>
  <c r="O35" i="2"/>
  <c r="P35" i="2"/>
  <c r="Q35" i="2"/>
  <c r="R35" i="2"/>
  <c r="H36" i="2"/>
  <c r="I36" i="2"/>
  <c r="J36" i="2"/>
  <c r="K36" i="2"/>
  <c r="L36" i="2"/>
  <c r="M36" i="2"/>
  <c r="N36" i="2"/>
  <c r="O36" i="2"/>
  <c r="P36" i="2"/>
  <c r="Q36" i="2"/>
  <c r="R36" i="2"/>
  <c r="H37" i="2"/>
  <c r="I37" i="2"/>
  <c r="J37" i="2"/>
  <c r="K37" i="2"/>
  <c r="L37" i="2"/>
  <c r="M37" i="2"/>
  <c r="N37" i="2"/>
  <c r="O37" i="2"/>
  <c r="P37" i="2"/>
  <c r="Q37" i="2"/>
  <c r="R37" i="2"/>
  <c r="H42" i="2"/>
  <c r="I42" i="2"/>
  <c r="J42" i="2"/>
  <c r="K42" i="2"/>
  <c r="L42" i="2"/>
  <c r="M42" i="2"/>
  <c r="N42" i="2"/>
  <c r="O42" i="2"/>
  <c r="P42" i="2"/>
  <c r="Q42" i="2"/>
  <c r="R42" i="2"/>
  <c r="H43" i="2"/>
  <c r="I43" i="2"/>
  <c r="J43" i="2"/>
  <c r="K43" i="2"/>
  <c r="L43" i="2"/>
  <c r="M43" i="2"/>
  <c r="N43" i="2"/>
  <c r="O43" i="2"/>
  <c r="P43" i="2"/>
  <c r="Q43" i="2"/>
  <c r="R43" i="2"/>
  <c r="H44" i="2"/>
  <c r="I44" i="2"/>
  <c r="J44" i="2"/>
  <c r="K44" i="2"/>
  <c r="L44" i="2"/>
  <c r="M44" i="2"/>
  <c r="N44" i="2"/>
  <c r="O44" i="2"/>
  <c r="P44" i="2"/>
  <c r="Q44" i="2"/>
  <c r="R44" i="2"/>
  <c r="H49" i="2"/>
  <c r="H50" i="2"/>
  <c r="H55" i="2"/>
  <c r="I55" i="2"/>
  <c r="J55" i="2"/>
  <c r="K55" i="2"/>
  <c r="L55" i="2"/>
  <c r="M55" i="2"/>
  <c r="N55" i="2"/>
  <c r="O55" i="2"/>
  <c r="P55" i="2"/>
  <c r="Q55" i="2"/>
  <c r="R55" i="2"/>
  <c r="H56" i="2"/>
  <c r="I56" i="2"/>
  <c r="J56" i="2"/>
  <c r="K56" i="2"/>
  <c r="L56" i="2"/>
  <c r="M56" i="2"/>
  <c r="N56" i="2"/>
  <c r="O56" i="2"/>
  <c r="P56" i="2"/>
  <c r="Q56" i="2"/>
  <c r="R56" i="2"/>
  <c r="H57" i="2"/>
  <c r="I57" i="2"/>
  <c r="J57" i="2"/>
  <c r="K57" i="2"/>
  <c r="L57" i="2"/>
  <c r="M57" i="2"/>
  <c r="N57" i="2"/>
  <c r="O57" i="2"/>
  <c r="P57" i="2"/>
  <c r="Q57" i="2"/>
  <c r="R57" i="2"/>
  <c r="H62" i="2"/>
  <c r="H63" i="2"/>
  <c r="I68" i="2"/>
  <c r="J68" i="2"/>
  <c r="K68" i="2"/>
  <c r="L68" i="2"/>
  <c r="M68" i="2"/>
  <c r="N68" i="2"/>
  <c r="O68" i="2"/>
  <c r="P68" i="2"/>
  <c r="Q68" i="2"/>
  <c r="R68" i="2"/>
  <c r="I69" i="2"/>
  <c r="J69" i="2"/>
  <c r="K69" i="2"/>
  <c r="L69" i="2"/>
  <c r="M69" i="2"/>
  <c r="N69" i="2"/>
  <c r="O69" i="2"/>
  <c r="P69" i="2"/>
  <c r="Q69" i="2"/>
  <c r="R69" i="2"/>
  <c r="I70" i="2"/>
  <c r="J70" i="2"/>
  <c r="K70" i="2"/>
  <c r="L70" i="2"/>
  <c r="M70" i="2"/>
  <c r="N70" i="2"/>
  <c r="O70" i="2"/>
  <c r="P70" i="2"/>
  <c r="Q70" i="2"/>
  <c r="R70" i="2"/>
  <c r="I82" i="2"/>
  <c r="J82" i="2"/>
  <c r="K82" i="2"/>
  <c r="L82" i="2"/>
  <c r="M82" i="2"/>
  <c r="N82" i="2"/>
  <c r="O82" i="2"/>
  <c r="P82" i="2"/>
  <c r="Q82" i="2"/>
  <c r="R82" i="2"/>
  <c r="I83" i="2"/>
  <c r="J83" i="2"/>
  <c r="K83" i="2"/>
  <c r="L83" i="2"/>
  <c r="M83" i="2"/>
  <c r="N83" i="2"/>
  <c r="O83" i="2"/>
  <c r="P83" i="2"/>
  <c r="Q83" i="2"/>
  <c r="R83" i="2"/>
  <c r="H87" i="2"/>
  <c r="H88" i="2"/>
  <c r="H89" i="2"/>
  <c r="H90" i="2"/>
  <c r="H93" i="2"/>
  <c r="I93" i="2"/>
  <c r="J93" i="2"/>
  <c r="K93" i="2"/>
  <c r="L93" i="2"/>
  <c r="M93" i="2"/>
  <c r="N93" i="2"/>
  <c r="O93" i="2"/>
  <c r="P93" i="2"/>
  <c r="Q93" i="2"/>
  <c r="R93" i="2"/>
  <c r="H96" i="2"/>
  <c r="J96" i="2"/>
  <c r="K96" i="2"/>
  <c r="L96" i="2"/>
  <c r="M96" i="2"/>
  <c r="N96" i="2"/>
  <c r="O96" i="2"/>
  <c r="P96" i="2"/>
  <c r="Q96" i="2"/>
  <c r="R96" i="2"/>
  <c r="H97" i="2"/>
  <c r="I97" i="2"/>
  <c r="J97" i="2"/>
  <c r="K97" i="2"/>
  <c r="L97" i="2"/>
  <c r="M97" i="2"/>
  <c r="N97" i="2"/>
  <c r="O97" i="2"/>
  <c r="P97" i="2"/>
  <c r="Q97" i="2"/>
  <c r="R97" i="2"/>
  <c r="H99" i="2"/>
  <c r="I99" i="2"/>
  <c r="J99" i="2"/>
  <c r="K99" i="2"/>
  <c r="L99" i="2"/>
  <c r="M99" i="2"/>
  <c r="N99" i="2"/>
  <c r="O99" i="2"/>
  <c r="P99" i="2"/>
  <c r="Q99" i="2"/>
  <c r="R99" i="2"/>
  <c r="H102" i="2"/>
  <c r="H104" i="2"/>
  <c r="I104" i="2"/>
  <c r="J104" i="2"/>
  <c r="K104" i="2"/>
  <c r="L104" i="2"/>
  <c r="M104" i="2"/>
  <c r="N104" i="2"/>
  <c r="O104" i="2"/>
  <c r="P104" i="2"/>
  <c r="Q104" i="2"/>
  <c r="R104" i="2"/>
  <c r="I107" i="2"/>
  <c r="J107" i="2"/>
  <c r="K107" i="2"/>
  <c r="L107" i="2"/>
  <c r="M107" i="2"/>
  <c r="N107" i="2"/>
  <c r="O107" i="2"/>
  <c r="P107" i="2"/>
  <c r="Q107" i="2"/>
  <c r="R107" i="2"/>
  <c r="H108" i="2"/>
  <c r="I108" i="2"/>
  <c r="J108" i="2"/>
  <c r="K108" i="2"/>
  <c r="L108" i="2"/>
  <c r="M108" i="2"/>
  <c r="N108" i="2"/>
  <c r="O108" i="2"/>
  <c r="P108" i="2"/>
  <c r="Q108" i="2"/>
  <c r="R108" i="2"/>
  <c r="H113" i="2"/>
  <c r="H114" i="2"/>
  <c r="I114" i="2"/>
  <c r="J114" i="2"/>
  <c r="K114" i="2"/>
  <c r="L114" i="2"/>
  <c r="M114" i="2"/>
  <c r="N114" i="2"/>
  <c r="O114" i="2"/>
  <c r="P114" i="2"/>
  <c r="Q114" i="2"/>
  <c r="R114" i="2"/>
  <c r="I117" i="2"/>
  <c r="J117" i="2"/>
  <c r="K117" i="2"/>
  <c r="L117" i="2"/>
  <c r="M117" i="2"/>
  <c r="N117" i="2"/>
  <c r="O117" i="2"/>
  <c r="P117" i="2"/>
  <c r="Q117" i="2"/>
  <c r="R117" i="2"/>
  <c r="I118" i="2"/>
  <c r="J118" i="2"/>
  <c r="K118" i="2"/>
  <c r="L118" i="2"/>
  <c r="M118" i="2"/>
  <c r="N118" i="2"/>
  <c r="O118" i="2"/>
  <c r="P118" i="2"/>
  <c r="Q118" i="2"/>
  <c r="R118" i="2"/>
  <c r="H121" i="2"/>
  <c r="U139" i="2"/>
  <c r="V139" i="2"/>
  <c r="W139" i="2"/>
  <c r="X139" i="2"/>
  <c r="Y139" i="2"/>
  <c r="Z139" i="2"/>
  <c r="AA139" i="2"/>
  <c r="AB139" i="2"/>
  <c r="AC139" i="2"/>
  <c r="AD139" i="2"/>
  <c r="U140" i="2"/>
  <c r="V140" i="2"/>
  <c r="W140" i="2"/>
  <c r="X140" i="2"/>
  <c r="Y140" i="2"/>
  <c r="Z140" i="2"/>
  <c r="AA140" i="2"/>
  <c r="AB140" i="2"/>
  <c r="AC140" i="2"/>
  <c r="AD140" i="2"/>
  <c r="U142" i="2"/>
  <c r="V142" i="2"/>
  <c r="W142" i="2"/>
  <c r="X142" i="2"/>
  <c r="Y142" i="2"/>
  <c r="Z142" i="2"/>
  <c r="AA142" i="2"/>
  <c r="AB142" i="2"/>
  <c r="AC142" i="2"/>
  <c r="AD142" i="2"/>
  <c r="U143" i="2"/>
  <c r="V143" i="2"/>
  <c r="W143" i="2"/>
  <c r="X143" i="2"/>
  <c r="Y143" i="2"/>
  <c r="Z143" i="2"/>
  <c r="AA143" i="2"/>
  <c r="AB143" i="2"/>
  <c r="AC143" i="2"/>
  <c r="AD143" i="2"/>
  <c r="I146" i="2"/>
  <c r="J146" i="2"/>
  <c r="K146" i="2"/>
  <c r="L146" i="2"/>
  <c r="M146" i="2"/>
  <c r="N146" i="2"/>
  <c r="O146" i="2"/>
  <c r="P146" i="2"/>
  <c r="Q146" i="2"/>
  <c r="R146" i="2"/>
  <c r="I147" i="2"/>
  <c r="J147" i="2"/>
  <c r="K147" i="2"/>
  <c r="L147" i="2"/>
  <c r="M147" i="2"/>
  <c r="N147" i="2"/>
  <c r="O147" i="2"/>
  <c r="P147" i="2"/>
  <c r="Q147" i="2"/>
  <c r="R147" i="2"/>
  <c r="I149" i="2"/>
  <c r="J149" i="2"/>
  <c r="K149" i="2"/>
  <c r="L149" i="2"/>
  <c r="M149" i="2"/>
  <c r="N149" i="2"/>
  <c r="O149" i="2"/>
  <c r="P149" i="2"/>
  <c r="Q149" i="2"/>
  <c r="R149" i="2"/>
  <c r="I150" i="2"/>
  <c r="J150" i="2"/>
  <c r="K150" i="2"/>
  <c r="L150" i="2"/>
  <c r="M150" i="2"/>
  <c r="N150" i="2"/>
  <c r="O150" i="2"/>
  <c r="P150" i="2"/>
  <c r="Q150" i="2"/>
  <c r="R150" i="2"/>
  <c r="G153" i="2"/>
  <c r="I153" i="2"/>
  <c r="J153" i="2"/>
  <c r="K153" i="2"/>
  <c r="L153" i="2"/>
  <c r="M153" i="2"/>
  <c r="N153" i="2"/>
  <c r="O153" i="2"/>
  <c r="P153" i="2"/>
  <c r="Q153" i="2"/>
  <c r="R153" i="2"/>
  <c r="I157" i="2"/>
  <c r="J157" i="2"/>
  <c r="K157" i="2"/>
  <c r="L157" i="2"/>
  <c r="M157" i="2"/>
  <c r="N157" i="2"/>
  <c r="O157" i="2"/>
  <c r="P157" i="2"/>
  <c r="Q157" i="2"/>
  <c r="R157" i="2"/>
  <c r="I159" i="2"/>
  <c r="J159" i="2"/>
  <c r="K159" i="2"/>
  <c r="L159" i="2"/>
  <c r="M159" i="2"/>
  <c r="N159" i="2"/>
  <c r="O159" i="2"/>
  <c r="P159" i="2"/>
  <c r="Q159" i="2"/>
  <c r="R159" i="2"/>
  <c r="I161" i="2"/>
  <c r="J161" i="2"/>
  <c r="K161" i="2"/>
  <c r="L161" i="2"/>
  <c r="M161" i="2"/>
  <c r="N161" i="2"/>
  <c r="O161" i="2"/>
  <c r="P161" i="2"/>
  <c r="Q161" i="2"/>
  <c r="R161" i="2"/>
  <c r="I163" i="2"/>
  <c r="J163" i="2"/>
  <c r="K163" i="2"/>
  <c r="L163" i="2"/>
  <c r="M163" i="2"/>
  <c r="N163" i="2"/>
  <c r="O163" i="2"/>
  <c r="P163" i="2"/>
  <c r="Q163" i="2"/>
  <c r="R163" i="2"/>
  <c r="U165" i="2"/>
  <c r="V165" i="2"/>
  <c r="W165" i="2"/>
  <c r="X165" i="2"/>
  <c r="Y165" i="2"/>
  <c r="Z165" i="2"/>
  <c r="AA165" i="2"/>
  <c r="AB165" i="2"/>
  <c r="AC165" i="2"/>
  <c r="AD165" i="2"/>
  <c r="I179" i="2"/>
  <c r="J179" i="2"/>
  <c r="K179" i="2"/>
  <c r="L179" i="2"/>
  <c r="M179" i="2"/>
  <c r="N179" i="2"/>
  <c r="O179" i="2"/>
  <c r="P179" i="2"/>
  <c r="Q179" i="2"/>
  <c r="R179" i="2"/>
  <c r="I180" i="2"/>
  <c r="J180" i="2"/>
  <c r="K180" i="2"/>
  <c r="L180" i="2"/>
  <c r="M180" i="2"/>
  <c r="N180" i="2"/>
  <c r="O180" i="2"/>
  <c r="P180" i="2"/>
  <c r="Q180" i="2"/>
  <c r="R180" i="2"/>
  <c r="U180" i="2"/>
  <c r="V180" i="2"/>
  <c r="W180" i="2"/>
  <c r="X180" i="2"/>
  <c r="Y180" i="2"/>
  <c r="Z180" i="2"/>
  <c r="AA180" i="2"/>
  <c r="AB180" i="2"/>
  <c r="AC180" i="2"/>
  <c r="AD180" i="2"/>
  <c r="I190" i="2"/>
  <c r="J190" i="2"/>
  <c r="K190" i="2"/>
  <c r="L190" i="2"/>
  <c r="M190" i="2"/>
  <c r="N190" i="2"/>
  <c r="O190" i="2"/>
  <c r="P190" i="2"/>
  <c r="Q190" i="2"/>
  <c r="R190" i="2"/>
  <c r="U191" i="2"/>
  <c r="V191" i="2"/>
  <c r="W191" i="2"/>
  <c r="X191" i="2"/>
  <c r="Y191" i="2"/>
  <c r="Z191" i="2"/>
  <c r="AA191" i="2"/>
  <c r="AB191" i="2"/>
  <c r="AC191" i="2"/>
  <c r="AD191" i="2"/>
  <c r="I192" i="2"/>
  <c r="J192" i="2"/>
  <c r="K192" i="2"/>
  <c r="L192" i="2"/>
  <c r="M192" i="2"/>
  <c r="N192" i="2"/>
  <c r="O192" i="2"/>
  <c r="P192" i="2"/>
  <c r="Q192" i="2"/>
  <c r="R192" i="2"/>
  <c r="U193" i="2"/>
  <c r="V193" i="2"/>
  <c r="W193" i="2"/>
  <c r="X193" i="2"/>
  <c r="Y193" i="2"/>
  <c r="Z193" i="2"/>
  <c r="AA193" i="2"/>
  <c r="AB193" i="2"/>
  <c r="AC193" i="2"/>
  <c r="AD193" i="2"/>
  <c r="U195" i="2"/>
  <c r="V195" i="2"/>
  <c r="W195" i="2"/>
  <c r="X195" i="2"/>
  <c r="Y195" i="2"/>
  <c r="Z195" i="2"/>
  <c r="AA195" i="2"/>
  <c r="AB195" i="2"/>
  <c r="AC195" i="2"/>
  <c r="AD195" i="2"/>
  <c r="I197" i="2"/>
  <c r="C5" i="11"/>
  <c r="D5" i="11"/>
  <c r="E5" i="11"/>
  <c r="F5" i="11"/>
  <c r="G5" i="11"/>
  <c r="H5" i="11"/>
  <c r="I5" i="11"/>
  <c r="J5" i="11"/>
  <c r="K5" i="11"/>
  <c r="AA5" i="11"/>
  <c r="AB5" i="11"/>
  <c r="C6" i="11"/>
  <c r="D6" i="11"/>
  <c r="E6" i="11"/>
  <c r="F6" i="11"/>
  <c r="G6" i="11"/>
  <c r="H6" i="11"/>
  <c r="I6" i="11"/>
  <c r="J6" i="11"/>
  <c r="K6" i="11"/>
  <c r="AA6" i="11"/>
  <c r="AB6" i="11"/>
  <c r="AA17" i="11"/>
  <c r="AB17" i="11"/>
  <c r="AA18" i="11"/>
  <c r="AB18" i="11"/>
  <c r="C33" i="11"/>
  <c r="D33" i="11"/>
  <c r="E33" i="11"/>
  <c r="F33" i="11"/>
  <c r="G33" i="11"/>
  <c r="H33" i="11"/>
  <c r="I33" i="11"/>
  <c r="J33" i="11"/>
  <c r="K33" i="11"/>
  <c r="AA33" i="11"/>
  <c r="AB33" i="11"/>
  <c r="C34" i="11"/>
  <c r="D34" i="11"/>
  <c r="E34" i="11"/>
  <c r="F34" i="11"/>
  <c r="G34" i="11"/>
  <c r="H34" i="11"/>
  <c r="I34" i="11"/>
  <c r="J34" i="11"/>
  <c r="K34" i="11"/>
  <c r="AA34" i="11"/>
  <c r="AB34" i="11"/>
  <c r="I43" i="11"/>
  <c r="I44" i="11"/>
  <c r="I29" i="19"/>
  <c r="J29" i="19"/>
  <c r="K29" i="19"/>
  <c r="L29" i="19"/>
  <c r="M29" i="19"/>
  <c r="N29" i="19"/>
  <c r="O29" i="19"/>
  <c r="P29" i="19"/>
  <c r="Q29" i="19"/>
  <c r="R29" i="19"/>
  <c r="H15" i="18"/>
  <c r="I15" i="18"/>
  <c r="J15" i="18"/>
  <c r="K15" i="18"/>
  <c r="L15" i="18"/>
  <c r="M15" i="18"/>
  <c r="N15" i="18"/>
  <c r="O15" i="18"/>
  <c r="P15" i="18"/>
  <c r="Q15" i="18"/>
  <c r="R15" i="18"/>
  <c r="H16" i="18"/>
  <c r="I16" i="18"/>
  <c r="J16" i="18"/>
  <c r="K16" i="18"/>
  <c r="L16" i="18"/>
  <c r="M16" i="18"/>
  <c r="N16" i="18"/>
  <c r="O16" i="18"/>
  <c r="P16" i="18"/>
  <c r="Q16" i="18"/>
  <c r="R16" i="18"/>
  <c r="H18" i="18"/>
  <c r="I18" i="18"/>
  <c r="J18" i="18"/>
  <c r="K18" i="18"/>
  <c r="L18" i="18"/>
  <c r="M18" i="18"/>
  <c r="N18" i="18"/>
  <c r="O18" i="18"/>
  <c r="P18" i="18"/>
  <c r="Q18" i="18"/>
  <c r="R18" i="18"/>
  <c r="I24" i="18"/>
  <c r="J24" i="18"/>
  <c r="K24" i="18"/>
  <c r="L24" i="18"/>
  <c r="M24" i="18"/>
  <c r="N24" i="18"/>
  <c r="O24" i="18"/>
  <c r="P24" i="18"/>
  <c r="Q24" i="18"/>
  <c r="R24" i="18"/>
  <c r="H28" i="18"/>
  <c r="I28" i="18"/>
  <c r="J28" i="18"/>
  <c r="K28" i="18"/>
  <c r="L28" i="18"/>
  <c r="M28" i="18"/>
  <c r="N28" i="18"/>
  <c r="O28" i="18"/>
  <c r="P28" i="18"/>
  <c r="Q28" i="18"/>
  <c r="R28" i="18"/>
  <c r="I29" i="18"/>
  <c r="J29" i="18"/>
  <c r="K29" i="18"/>
  <c r="L29" i="18"/>
  <c r="M29" i="18"/>
  <c r="N29" i="18"/>
  <c r="O29" i="18"/>
  <c r="P29" i="18"/>
  <c r="Q29" i="18"/>
  <c r="R29" i="18"/>
  <c r="I30" i="18"/>
  <c r="J30" i="18"/>
  <c r="K30" i="18"/>
  <c r="L30" i="18"/>
  <c r="M30" i="18"/>
  <c r="N30" i="18"/>
  <c r="O30" i="18"/>
  <c r="P30" i="18"/>
  <c r="Q30" i="18"/>
  <c r="R30" i="18"/>
  <c r="I31" i="18"/>
  <c r="J31" i="18"/>
  <c r="K31" i="18"/>
  <c r="L31" i="18"/>
  <c r="M31" i="18"/>
  <c r="N31" i="18"/>
  <c r="O31" i="18"/>
  <c r="P31" i="18"/>
  <c r="Q31" i="18"/>
  <c r="R31" i="18"/>
  <c r="I69" i="18"/>
  <c r="J69" i="18"/>
  <c r="K69" i="18"/>
  <c r="L69" i="18"/>
  <c r="M69" i="18"/>
  <c r="N69" i="18"/>
  <c r="O69" i="18"/>
  <c r="P69" i="18"/>
  <c r="Q69" i="18"/>
  <c r="R69" i="18"/>
  <c r="I76" i="18"/>
  <c r="J76" i="18"/>
  <c r="K76" i="18"/>
  <c r="L76" i="18"/>
  <c r="M76" i="18"/>
  <c r="N76" i="18"/>
  <c r="O76" i="18"/>
  <c r="P76" i="18"/>
  <c r="Q76" i="18"/>
  <c r="R76" i="18"/>
  <c r="I77" i="18"/>
  <c r="J77" i="18"/>
  <c r="K77" i="18"/>
  <c r="L77" i="18"/>
  <c r="M77" i="18"/>
  <c r="N77" i="18"/>
  <c r="O77" i="18"/>
  <c r="P77" i="18"/>
  <c r="Q77" i="18"/>
  <c r="R77" i="18"/>
  <c r="I79" i="18"/>
  <c r="J79" i="18"/>
  <c r="K79" i="18"/>
  <c r="L79" i="18"/>
  <c r="M79" i="18"/>
  <c r="N79" i="18"/>
  <c r="O79" i="18"/>
  <c r="P79" i="18"/>
  <c r="Q79" i="18"/>
  <c r="R79" i="18"/>
  <c r="I80" i="18"/>
  <c r="J80" i="18"/>
  <c r="K80" i="18"/>
  <c r="L80" i="18"/>
  <c r="M80" i="18"/>
  <c r="N80" i="18"/>
  <c r="O80" i="18"/>
  <c r="P80" i="18"/>
  <c r="Q80" i="18"/>
  <c r="R80" i="18"/>
  <c r="I83" i="18"/>
  <c r="J83" i="18"/>
  <c r="K83" i="18"/>
  <c r="L83" i="18"/>
  <c r="M83" i="18"/>
  <c r="N83" i="18"/>
  <c r="O83" i="18"/>
  <c r="P83" i="18"/>
  <c r="Q83" i="18"/>
  <c r="R83" i="18"/>
  <c r="I84" i="18"/>
  <c r="J84" i="18"/>
  <c r="K84" i="18"/>
  <c r="L84" i="18"/>
  <c r="M84" i="18"/>
  <c r="N84" i="18"/>
  <c r="O84" i="18"/>
  <c r="P84" i="18"/>
  <c r="Q84" i="18"/>
  <c r="R84" i="18"/>
  <c r="I87" i="18"/>
  <c r="J87" i="18"/>
  <c r="K87" i="18"/>
  <c r="L87" i="18"/>
  <c r="M87" i="18"/>
  <c r="N87" i="18"/>
  <c r="O87" i="18"/>
  <c r="P87" i="18"/>
  <c r="Q87" i="18"/>
  <c r="R87" i="18"/>
  <c r="I88" i="18"/>
  <c r="J88" i="18"/>
  <c r="K88" i="18"/>
  <c r="L88" i="18"/>
  <c r="M88" i="18"/>
  <c r="N88" i="18"/>
  <c r="O88" i="18"/>
  <c r="P88" i="18"/>
  <c r="Q88" i="18"/>
  <c r="R88" i="18"/>
  <c r="I89" i="18"/>
  <c r="J89" i="18"/>
  <c r="K89" i="18"/>
  <c r="L89" i="18"/>
  <c r="M89" i="18"/>
  <c r="N89" i="18"/>
  <c r="O89" i="18"/>
  <c r="P89" i="18"/>
  <c r="Q89" i="18"/>
  <c r="R89" i="18"/>
  <c r="I90" i="18"/>
  <c r="J90" i="18"/>
  <c r="K90" i="18"/>
  <c r="L90" i="18"/>
  <c r="M90" i="18"/>
  <c r="N90" i="18"/>
  <c r="O90" i="18"/>
  <c r="P90" i="18"/>
  <c r="Q90" i="18"/>
  <c r="R90" i="18"/>
  <c r="I97" i="18"/>
  <c r="J97" i="18"/>
  <c r="K97" i="18"/>
  <c r="L97" i="18"/>
  <c r="M97" i="18"/>
  <c r="N97" i="18"/>
  <c r="O97" i="18"/>
  <c r="P97" i="18"/>
  <c r="Q97" i="18"/>
  <c r="R97" i="18"/>
  <c r="R98" i="18"/>
  <c r="I99" i="18"/>
  <c r="J99" i="18"/>
  <c r="K99" i="18"/>
  <c r="L99" i="18"/>
  <c r="M99" i="18"/>
  <c r="N99" i="18"/>
  <c r="O99" i="18"/>
  <c r="P99" i="18"/>
  <c r="Q99" i="18"/>
  <c r="R99" i="18"/>
  <c r="B101" i="18"/>
  <c r="B103" i="18"/>
  <c r="B105" i="18"/>
  <c r="B107" i="18"/>
  <c r="H3" i="1"/>
  <c r="I3" i="1"/>
  <c r="J3" i="1"/>
  <c r="K3" i="1"/>
  <c r="L3" i="1"/>
  <c r="M3" i="1"/>
  <c r="N3" i="1"/>
  <c r="O3" i="1"/>
  <c r="P3" i="1"/>
  <c r="Q3" i="1"/>
  <c r="R3" i="1"/>
  <c r="H4" i="1"/>
  <c r="I4" i="1"/>
  <c r="J4" i="1"/>
  <c r="K4" i="1"/>
  <c r="L4" i="1"/>
  <c r="M4" i="1"/>
  <c r="N4" i="1"/>
  <c r="O4" i="1"/>
  <c r="P4" i="1"/>
  <c r="Q4" i="1"/>
  <c r="R4" i="1"/>
  <c r="H7" i="1"/>
  <c r="I7" i="1"/>
  <c r="J7" i="1"/>
  <c r="K7" i="1"/>
  <c r="L7" i="1"/>
  <c r="M7" i="1"/>
  <c r="N7" i="1"/>
  <c r="O7" i="1"/>
  <c r="P7" i="1"/>
  <c r="Q7" i="1"/>
  <c r="R7" i="1"/>
  <c r="H8" i="1"/>
  <c r="I8" i="1"/>
  <c r="J8" i="1"/>
  <c r="K8" i="1"/>
  <c r="L8" i="1"/>
  <c r="M8" i="1"/>
  <c r="N8" i="1"/>
  <c r="O8" i="1"/>
  <c r="P8" i="1"/>
  <c r="Q8" i="1"/>
  <c r="R8" i="1"/>
  <c r="H9" i="1"/>
  <c r="I9" i="1"/>
  <c r="J9" i="1"/>
  <c r="K9" i="1"/>
  <c r="L9" i="1"/>
  <c r="M9" i="1"/>
  <c r="N9" i="1"/>
  <c r="O9" i="1"/>
  <c r="P9" i="1"/>
  <c r="Q9" i="1"/>
  <c r="R9" i="1"/>
  <c r="H10" i="1"/>
  <c r="I10" i="1"/>
  <c r="J10" i="1"/>
  <c r="K10" i="1"/>
  <c r="L10" i="1"/>
  <c r="M10" i="1"/>
  <c r="N10" i="1"/>
  <c r="O10" i="1"/>
  <c r="P10" i="1"/>
  <c r="Q10" i="1"/>
  <c r="R10" i="1"/>
  <c r="H14" i="1"/>
  <c r="I14" i="1" a="1"/>
  <c r="I14" i="1"/>
  <c r="J14" i="1" a="1"/>
  <c r="J14" i="1"/>
  <c r="K14" i="1" a="1"/>
  <c r="K14" i="1"/>
  <c r="L14" i="1" a="1"/>
  <c r="L14" i="1"/>
  <c r="M14" i="1" a="1"/>
  <c r="M14" i="1"/>
  <c r="N14" i="1" a="1"/>
  <c r="N14" i="1"/>
  <c r="O14" i="1" a="1"/>
  <c r="O14" i="1"/>
  <c r="P14" i="1" a="1"/>
  <c r="P14" i="1"/>
  <c r="Q14" i="1" a="1"/>
  <c r="Q14" i="1"/>
  <c r="R14" i="1" a="1"/>
  <c r="R14" i="1"/>
  <c r="H15" i="1"/>
  <c r="I15" i="1" a="1"/>
  <c r="I15" i="1"/>
  <c r="J15" i="1" a="1"/>
  <c r="J15" i="1"/>
  <c r="K15" i="1" a="1"/>
  <c r="K15" i="1"/>
  <c r="L15" i="1" a="1"/>
  <c r="L15" i="1"/>
  <c r="M15" i="1" a="1"/>
  <c r="M15" i="1"/>
  <c r="N15" i="1" a="1"/>
  <c r="N15" i="1"/>
  <c r="O15" i="1" a="1"/>
  <c r="O15" i="1"/>
  <c r="P15" i="1" a="1"/>
  <c r="P15" i="1"/>
  <c r="Q15" i="1" a="1"/>
  <c r="Q15" i="1"/>
  <c r="R15" i="1" a="1"/>
  <c r="R15" i="1"/>
  <c r="H16" i="1"/>
  <c r="I16" i="1" a="1"/>
  <c r="I16" i="1"/>
  <c r="J16" i="1" a="1"/>
  <c r="J16" i="1"/>
  <c r="K16" i="1" a="1"/>
  <c r="K16" i="1"/>
  <c r="L16" i="1" a="1"/>
  <c r="L16" i="1"/>
  <c r="M16" i="1" a="1"/>
  <c r="M16" i="1"/>
  <c r="N16" i="1" a="1"/>
  <c r="N16" i="1"/>
  <c r="O16" i="1" a="1"/>
  <c r="O16" i="1"/>
  <c r="P16" i="1" a="1"/>
  <c r="P16" i="1"/>
  <c r="Q16" i="1" a="1"/>
  <c r="Q16" i="1"/>
  <c r="R16" i="1" a="1"/>
  <c r="R16" i="1"/>
  <c r="H20" i="1"/>
  <c r="I20" i="1"/>
  <c r="J20" i="1"/>
  <c r="K20" i="1"/>
  <c r="L20" i="1"/>
  <c r="M20" i="1"/>
  <c r="N20" i="1"/>
  <c r="O20" i="1"/>
  <c r="P20" i="1"/>
  <c r="Q20" i="1"/>
  <c r="R20" i="1"/>
  <c r="H22" i="1"/>
  <c r="I22" i="1" a="1"/>
  <c r="I22" i="1"/>
  <c r="J22" i="1" a="1"/>
  <c r="J22" i="1"/>
  <c r="K22" i="1" a="1"/>
  <c r="K22" i="1"/>
  <c r="L22" i="1" a="1"/>
  <c r="L22" i="1"/>
  <c r="M22" i="1" a="1"/>
  <c r="M22" i="1"/>
  <c r="N22" i="1" a="1"/>
  <c r="N22" i="1"/>
  <c r="O22" i="1" a="1"/>
  <c r="O22" i="1"/>
  <c r="P22" i="1" a="1"/>
  <c r="P22" i="1"/>
  <c r="Q22" i="1" a="1"/>
  <c r="Q22" i="1"/>
  <c r="R22" i="1" a="1"/>
  <c r="R22" i="1"/>
  <c r="H23" i="1"/>
  <c r="I23" i="1" a="1"/>
  <c r="I23" i="1"/>
  <c r="J23" i="1" a="1"/>
  <c r="J23" i="1"/>
  <c r="K23" i="1" a="1"/>
  <c r="K23" i="1"/>
  <c r="L23" i="1" a="1"/>
  <c r="L23" i="1"/>
  <c r="M23" i="1" a="1"/>
  <c r="M23" i="1"/>
  <c r="N23" i="1" a="1"/>
  <c r="N23" i="1"/>
  <c r="O23" i="1" a="1"/>
  <c r="O23" i="1"/>
  <c r="P23" i="1" a="1"/>
  <c r="P23" i="1"/>
  <c r="Q23" i="1" a="1"/>
  <c r="Q23" i="1"/>
  <c r="R23" i="1" a="1"/>
  <c r="R23" i="1"/>
  <c r="H25" i="1"/>
  <c r="I25" i="1"/>
  <c r="J25" i="1"/>
  <c r="K25" i="1"/>
  <c r="L25" i="1"/>
  <c r="M25" i="1"/>
  <c r="N25" i="1"/>
  <c r="O25" i="1"/>
  <c r="P25" i="1"/>
  <c r="Q25" i="1"/>
  <c r="R25" i="1"/>
  <c r="H27" i="1"/>
  <c r="I27" i="1" a="1"/>
  <c r="I27" i="1"/>
  <c r="J27" i="1" a="1"/>
  <c r="J27" i="1"/>
  <c r="K27" i="1" a="1"/>
  <c r="K27" i="1"/>
  <c r="L27" i="1" a="1"/>
  <c r="L27" i="1"/>
  <c r="M27" i="1" a="1"/>
  <c r="M27" i="1"/>
  <c r="N27" i="1" a="1"/>
  <c r="N27" i="1"/>
  <c r="O27" i="1" a="1"/>
  <c r="O27" i="1"/>
  <c r="P27" i="1" a="1"/>
  <c r="P27" i="1"/>
  <c r="Q27" i="1" a="1"/>
  <c r="Q27" i="1"/>
  <c r="R27" i="1" a="1"/>
  <c r="R27" i="1"/>
  <c r="H29" i="1"/>
  <c r="I29" i="1"/>
  <c r="J29" i="1"/>
  <c r="K29" i="1"/>
  <c r="L29" i="1"/>
  <c r="M29" i="1"/>
  <c r="N29" i="1"/>
  <c r="O29" i="1"/>
  <c r="P29" i="1"/>
  <c r="Q29" i="1"/>
  <c r="R29" i="1"/>
  <c r="H31" i="1"/>
  <c r="I31" i="1"/>
  <c r="J31" i="1"/>
  <c r="K31" i="1"/>
  <c r="L31" i="1"/>
  <c r="M31" i="1"/>
  <c r="N31" i="1"/>
  <c r="O31" i="1"/>
  <c r="P31" i="1"/>
  <c r="Q31" i="1"/>
  <c r="R31" i="1"/>
  <c r="H32" i="1"/>
  <c r="I32" i="1"/>
  <c r="J32" i="1"/>
  <c r="K32" i="1"/>
  <c r="L32" i="1"/>
  <c r="M32" i="1"/>
  <c r="N32" i="1"/>
  <c r="O32" i="1"/>
  <c r="P32" i="1"/>
  <c r="Q32" i="1"/>
  <c r="R32" i="1"/>
  <c r="I33" i="1" a="1"/>
  <c r="I33" i="1"/>
  <c r="J33" i="1" a="1"/>
  <c r="J33" i="1"/>
  <c r="K33" i="1" a="1"/>
  <c r="K33" i="1"/>
  <c r="L33" i="1" a="1"/>
  <c r="L33" i="1"/>
  <c r="M33" i="1" a="1"/>
  <c r="M33" i="1"/>
  <c r="N33" i="1" a="1"/>
  <c r="N33" i="1"/>
  <c r="O33" i="1" a="1"/>
  <c r="O33" i="1"/>
  <c r="P33" i="1" a="1"/>
  <c r="P33" i="1"/>
  <c r="Q33" i="1" a="1"/>
  <c r="Q33" i="1"/>
  <c r="R33" i="1" a="1"/>
  <c r="R33" i="1"/>
  <c r="H34" i="1"/>
  <c r="I34" i="1"/>
  <c r="J34" i="1"/>
  <c r="K34" i="1"/>
  <c r="L34" i="1"/>
  <c r="M34" i="1"/>
  <c r="N34" i="1"/>
  <c r="O34" i="1"/>
  <c r="P34" i="1"/>
  <c r="Q34" i="1"/>
  <c r="R34" i="1"/>
  <c r="I38" i="1"/>
  <c r="J38" i="1"/>
  <c r="K38" i="1"/>
  <c r="L38" i="1"/>
  <c r="M38" i="1"/>
  <c r="N38" i="1"/>
  <c r="O38" i="1"/>
  <c r="P38" i="1"/>
  <c r="Q38" i="1"/>
  <c r="R38" i="1"/>
  <c r="I39" i="1" a="1"/>
  <c r="I39" i="1"/>
  <c r="J39" i="1" a="1"/>
  <c r="J39" i="1"/>
  <c r="K39" i="1" a="1"/>
  <c r="K39" i="1"/>
  <c r="L39" i="1" a="1"/>
  <c r="L39" i="1"/>
  <c r="M39" i="1" a="1"/>
  <c r="M39" i="1"/>
  <c r="N39" i="1" a="1"/>
  <c r="N39" i="1"/>
  <c r="O39" i="1" a="1"/>
  <c r="O39" i="1"/>
  <c r="P39" i="1" a="1"/>
  <c r="P39" i="1"/>
  <c r="Q39" i="1" a="1"/>
  <c r="Q39" i="1"/>
  <c r="R39" i="1" a="1"/>
  <c r="R39" i="1"/>
  <c r="I40" i="1" a="1"/>
  <c r="I40" i="1"/>
  <c r="J40" i="1" a="1"/>
  <c r="J40" i="1"/>
  <c r="K40" i="1" a="1"/>
  <c r="K40" i="1"/>
  <c r="L40" i="1" a="1"/>
  <c r="L40" i="1"/>
  <c r="M40" i="1" a="1"/>
  <c r="M40" i="1"/>
  <c r="N40" i="1" a="1"/>
  <c r="N40" i="1"/>
  <c r="O40" i="1" a="1"/>
  <c r="O40" i="1"/>
  <c r="P40" i="1" a="1"/>
  <c r="P40" i="1"/>
  <c r="Q40" i="1" a="1"/>
  <c r="Q40" i="1"/>
  <c r="R40" i="1" a="1"/>
  <c r="R40" i="1"/>
  <c r="I43" i="1"/>
  <c r="J43" i="1"/>
  <c r="K43" i="1"/>
  <c r="L43" i="1"/>
  <c r="M43" i="1"/>
  <c r="N43" i="1"/>
  <c r="O43" i="1"/>
  <c r="P43" i="1"/>
  <c r="Q43" i="1"/>
  <c r="R43" i="1"/>
  <c r="I45" i="1" a="1"/>
  <c r="I45" i="1"/>
  <c r="J45" i="1" a="1"/>
  <c r="J45" i="1"/>
  <c r="K45" i="1" a="1"/>
  <c r="K45" i="1"/>
  <c r="L45" i="1" a="1"/>
  <c r="L45" i="1"/>
  <c r="M45" i="1" a="1"/>
  <c r="M45" i="1"/>
  <c r="N45" i="1" a="1"/>
  <c r="N45" i="1"/>
  <c r="O45" i="1" a="1"/>
  <c r="O45" i="1"/>
  <c r="P45" i="1" a="1"/>
  <c r="P45" i="1"/>
  <c r="Q45" i="1" a="1"/>
  <c r="Q45" i="1"/>
  <c r="R45" i="1" a="1"/>
  <c r="R45" i="1"/>
  <c r="I46" i="1" a="1"/>
  <c r="I46" i="1"/>
  <c r="J46" i="1" a="1"/>
  <c r="J46" i="1"/>
  <c r="K46" i="1" a="1"/>
  <c r="K46" i="1"/>
  <c r="L46" i="1" a="1"/>
  <c r="L46" i="1"/>
  <c r="M46" i="1" a="1"/>
  <c r="M46" i="1"/>
  <c r="N46" i="1" a="1"/>
  <c r="N46" i="1"/>
  <c r="O46" i="1" a="1"/>
  <c r="O46" i="1"/>
  <c r="P46" i="1" a="1"/>
  <c r="P46" i="1"/>
  <c r="Q46" i="1" a="1"/>
  <c r="Q46" i="1"/>
  <c r="R46" i="1" a="1"/>
  <c r="R46" i="1"/>
  <c r="I51" i="1"/>
  <c r="J51" i="1"/>
  <c r="K51" i="1"/>
  <c r="L51" i="1"/>
  <c r="M51" i="1"/>
  <c r="N51" i="1"/>
  <c r="O51" i="1"/>
  <c r="P51" i="1"/>
  <c r="Q51" i="1"/>
  <c r="R51" i="1"/>
  <c r="I52" i="1"/>
  <c r="J52" i="1"/>
  <c r="K52" i="1"/>
  <c r="L52" i="1"/>
  <c r="M52" i="1"/>
  <c r="N52" i="1"/>
  <c r="O52" i="1"/>
  <c r="P52" i="1"/>
  <c r="Q52" i="1"/>
  <c r="R52" i="1"/>
  <c r="I60" i="1" a="1"/>
  <c r="I60" i="1"/>
  <c r="J60" i="1" a="1"/>
  <c r="J60" i="1"/>
  <c r="K60" i="1" a="1"/>
  <c r="K60" i="1"/>
  <c r="L60" i="1" a="1"/>
  <c r="L60" i="1"/>
  <c r="M60" i="1" a="1"/>
  <c r="M60" i="1"/>
  <c r="N60" i="1" a="1"/>
  <c r="N60" i="1"/>
  <c r="O60" i="1" a="1"/>
  <c r="O60" i="1"/>
  <c r="P60" i="1" a="1"/>
  <c r="P60" i="1"/>
  <c r="Q60" i="1" a="1"/>
  <c r="Q60" i="1"/>
  <c r="R60" i="1" a="1"/>
  <c r="R60" i="1"/>
  <c r="I67" i="1"/>
  <c r="J67" i="1"/>
  <c r="K67" i="1"/>
  <c r="L67" i="1"/>
  <c r="M67" i="1"/>
  <c r="N67" i="1"/>
  <c r="O67" i="1"/>
  <c r="P67" i="1"/>
  <c r="Q67" i="1"/>
  <c r="R67" i="1"/>
  <c r="I72" i="1"/>
  <c r="J72" i="1"/>
  <c r="K72" i="1"/>
  <c r="L72" i="1"/>
  <c r="M72" i="1"/>
  <c r="N72" i="1"/>
  <c r="O72" i="1"/>
  <c r="P72" i="1"/>
  <c r="Q72" i="1"/>
  <c r="R72" i="1"/>
  <c r="I74" i="1"/>
  <c r="J74" i="1"/>
  <c r="K74" i="1"/>
  <c r="L74" i="1"/>
  <c r="M74" i="1"/>
  <c r="N74" i="1"/>
  <c r="O74" i="1"/>
  <c r="P74" i="1"/>
  <c r="Q74" i="1"/>
  <c r="R74" i="1"/>
  <c r="I76" i="1"/>
  <c r="J76" i="1"/>
  <c r="K76" i="1"/>
  <c r="L76" i="1"/>
  <c r="M76" i="1"/>
  <c r="N76" i="1"/>
  <c r="O76" i="1"/>
  <c r="P76" i="1"/>
  <c r="Q76" i="1"/>
  <c r="R76" i="1"/>
  <c r="I79" i="1"/>
  <c r="J79" i="1"/>
  <c r="K79" i="1"/>
  <c r="L79" i="1"/>
  <c r="M79" i="1"/>
  <c r="N79" i="1"/>
  <c r="O79" i="1"/>
  <c r="P79" i="1"/>
  <c r="Q79" i="1"/>
  <c r="R79" i="1"/>
  <c r="H80" i="1"/>
  <c r="I80" i="1"/>
  <c r="J80" i="1"/>
  <c r="K80" i="1"/>
  <c r="L80" i="1"/>
  <c r="M80" i="1"/>
  <c r="N80" i="1"/>
  <c r="O80" i="1"/>
  <c r="P80" i="1"/>
  <c r="Q80" i="1"/>
  <c r="R80" i="1"/>
  <c r="I82" i="1"/>
  <c r="J82" i="1"/>
  <c r="K82" i="1"/>
  <c r="L82" i="1"/>
  <c r="M82" i="1"/>
  <c r="N82" i="1"/>
  <c r="O82" i="1"/>
  <c r="P82" i="1"/>
  <c r="Q82" i="1"/>
  <c r="R82" i="1"/>
  <c r="H83" i="1"/>
  <c r="I83" i="1"/>
  <c r="J83" i="1"/>
  <c r="K83" i="1"/>
  <c r="L83" i="1"/>
  <c r="M83" i="1"/>
  <c r="N83" i="1"/>
  <c r="O83" i="1"/>
  <c r="P83" i="1"/>
  <c r="Q83" i="1"/>
  <c r="R83" i="1"/>
  <c r="I86" i="1"/>
  <c r="J86" i="1"/>
  <c r="K86" i="1"/>
  <c r="L86" i="1"/>
  <c r="M86" i="1"/>
  <c r="N86" i="1"/>
  <c r="O86" i="1"/>
  <c r="P86" i="1"/>
  <c r="Q86" i="1"/>
  <c r="R86" i="1"/>
  <c r="I87" i="1"/>
  <c r="J87" i="1"/>
  <c r="K87" i="1"/>
  <c r="L87" i="1"/>
  <c r="M87" i="1"/>
  <c r="N87" i="1"/>
  <c r="O87" i="1"/>
  <c r="P87" i="1"/>
  <c r="Q87" i="1"/>
  <c r="R87" i="1"/>
  <c r="I88" i="1"/>
  <c r="J88" i="1"/>
  <c r="K88" i="1"/>
  <c r="L88" i="1"/>
  <c r="M88" i="1"/>
  <c r="N88" i="1"/>
  <c r="O88" i="1"/>
  <c r="P88" i="1"/>
  <c r="Q88" i="1"/>
  <c r="R88" i="1"/>
  <c r="I89" i="1"/>
  <c r="J89" i="1"/>
  <c r="K89" i="1"/>
  <c r="L89" i="1"/>
  <c r="M89" i="1"/>
  <c r="N89" i="1"/>
  <c r="O89" i="1"/>
  <c r="P89" i="1"/>
  <c r="Q89" i="1"/>
  <c r="R89" i="1"/>
  <c r="I90" i="1"/>
  <c r="J90" i="1"/>
  <c r="K90" i="1"/>
  <c r="L90" i="1"/>
  <c r="M90" i="1"/>
  <c r="N90" i="1"/>
  <c r="O90" i="1"/>
  <c r="P90" i="1"/>
  <c r="Q90" i="1"/>
  <c r="R90" i="1"/>
  <c r="I91" i="1" a="1"/>
  <c r="I91" i="1"/>
  <c r="J91" i="1" a="1"/>
  <c r="J91" i="1"/>
  <c r="K91" i="1" a="1"/>
  <c r="K91" i="1"/>
  <c r="L91" i="1" a="1"/>
  <c r="L91" i="1"/>
  <c r="M91" i="1" a="1"/>
  <c r="M91" i="1"/>
  <c r="N91" i="1" a="1"/>
  <c r="N91" i="1"/>
  <c r="O91" i="1" a="1"/>
  <c r="O91" i="1"/>
  <c r="P91" i="1" a="1"/>
  <c r="P91" i="1"/>
  <c r="Q91" i="1" a="1"/>
  <c r="Q91" i="1"/>
  <c r="R91" i="1" a="1"/>
  <c r="R91" i="1"/>
  <c r="I92" i="1" a="1"/>
  <c r="I92" i="1"/>
  <c r="J92" i="1" a="1"/>
  <c r="J92" i="1"/>
  <c r="K92" i="1" a="1"/>
  <c r="K92" i="1"/>
  <c r="L92" i="1" a="1"/>
  <c r="L92" i="1"/>
  <c r="M92" i="1" a="1"/>
  <c r="M92" i="1"/>
  <c r="N92" i="1" a="1"/>
  <c r="N92" i="1"/>
  <c r="O92" i="1" a="1"/>
  <c r="O92" i="1"/>
  <c r="P92" i="1" a="1"/>
  <c r="P92" i="1"/>
  <c r="Q92" i="1" a="1"/>
  <c r="Q92" i="1"/>
  <c r="R92" i="1" a="1"/>
  <c r="R92" i="1"/>
  <c r="I93" i="1"/>
  <c r="J93" i="1"/>
  <c r="K93" i="1"/>
  <c r="L93" i="1"/>
  <c r="M93" i="1"/>
  <c r="N93" i="1"/>
  <c r="O93" i="1"/>
  <c r="P93" i="1"/>
  <c r="Q93" i="1"/>
  <c r="R93" i="1"/>
  <c r="I100" i="1"/>
  <c r="J100" i="1"/>
  <c r="K100" i="1"/>
  <c r="L100" i="1"/>
  <c r="M100" i="1"/>
  <c r="N100" i="1"/>
  <c r="O100" i="1"/>
  <c r="P100" i="1"/>
  <c r="Q100" i="1"/>
  <c r="R100" i="1"/>
  <c r="R101" i="1"/>
  <c r="I102" i="1"/>
  <c r="J102" i="1"/>
  <c r="K102" i="1"/>
  <c r="L102" i="1"/>
  <c r="M102" i="1"/>
  <c r="N102" i="1"/>
  <c r="O102" i="1"/>
  <c r="P102" i="1"/>
  <c r="Q102" i="1"/>
  <c r="R102" i="1"/>
  <c r="B104" i="1"/>
  <c r="B106" i="1"/>
  <c r="B108" i="1"/>
  <c r="B1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tc={A637665E-65A4-42C7-90D1-9E0AA5EBDFD4}</author>
    <author>Wei Yong Tan</author>
  </authors>
  <commentList>
    <comment ref="B9" authorId="0" shapeId="0" xr:uid="{A637665E-65A4-42C7-90D1-9E0AA5EBDFD4}">
      <text>
        <t>[Threaded comment]
Your version of Excel allows you to read this threaded comment; however, any edits to it will get removed if the file is opened in a newer version of Excel. Learn more: https://go.microsoft.com/fwlink/?linkid=870924
Comment:
    Extracted out the Depreciation of PPE and Depreciation of Intangible assets from the Cost of Revenue. </t>
      </text>
    </comment>
    <comment ref="B109" authorId="1" shapeId="0" xr:uid="{DDB09778-4A0C-4461-BA9F-D6B93CC6DEE9}">
      <text>
        <r>
          <rPr>
            <b/>
            <sz val="9"/>
            <color indexed="81"/>
            <rFont val="Tahoma"/>
            <family val="2"/>
          </rPr>
          <t>Wei Yong Tan:</t>
        </r>
        <r>
          <rPr>
            <sz val="9"/>
            <color indexed="81"/>
            <rFont val="Tahoma"/>
            <family val="2"/>
          </rPr>
          <t xml:space="preserve">
annual report states 3619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tc={C8C1C140-74D6-4CD6-B830-0D9FCC658D05}</author>
    <author>tc={A76D8A8D-2A5A-42B1-BE35-622C9B6123C5}</author>
    <author>tc={B78F95F8-ECB4-48C9-B3E3-CB3EF537C86F}</author>
    <author>tc={694AA5C2-867A-4BE9-9DC7-75D2BF371D95}</author>
    <author>tc={51486C93-F24E-4FCF-83E3-CC8EF8D78A7C}</author>
    <author>tc={610B86C1-DA91-4C68-A1B4-8CD03A4C19B1}</author>
    <author>tc={15ED0703-BA28-44C5-9A1D-08C38285AA3A}</author>
  </authors>
  <commentList>
    <comment ref="A10" authorId="0" shapeId="0" xr:uid="{C8C1C140-74D6-4CD6-B830-0D9FCC658D05}">
      <text>
        <t>[Threaded comment]
Your version of Excel allows you to read this threaded comment; however, any edits to it will get removed if the file is opened in a newer version of Excel. Learn more: https://go.microsoft.com/fwlink/?linkid=870924
Comment:
    Gross profit margin was originally hardcoded
Increases in margin did not have a linear logic
To sensitize gross margin, make the gross profit margin starting from "K10" a formula
= J9 + $B$10 such that Cell R9 = 75%
Using solver, the rate is 6.25%
Stock price from 4.3 to 4.5 - not a material increase
Linked to "Values" cell C126 for data table to work</t>
      </text>
    </comment>
    <comment ref="I14" authorId="1" shapeId="0" xr:uid="{A76D8A8D-2A5A-42B1-BE35-622C9B6123C5}">
      <text>
        <t>[Threaded comment]
Your version of Excel allows you to read this threaded comment; however, any edits to it will get removed if the file is opened in a newer version of Excel. Learn more: https://go.microsoft.com/fwlink/?linkid=870924
Comment:
    Fix these cells.
They make the Q4 GMV make sense</t>
      </text>
    </comment>
    <comment ref="J14" authorId="2" shapeId="0" xr:uid="{B78F95F8-ECB4-48C9-B3E3-CB3EF537C86F}">
      <text>
        <t>[Threaded comment]
Your version of Excel allows you to read this threaded comment; however, any edits to it will get removed if the file is opened in a newer version of Excel. Learn more: https://go.microsoft.com/fwlink/?linkid=870924
Comment:
    As high as they can be</t>
      </text>
    </comment>
    <comment ref="A26" authorId="3" shapeId="0" xr:uid="{694AA5C2-867A-4BE9-9DC7-75D2BF371D95}">
      <text>
        <t xml:space="preserve">[Threaded comment]
Your version of Excel allows you to read this threaded comment; however, any edits to it will get removed if the file is opened in a newer version of Excel. Learn more: https://go.microsoft.com/fwlink/?linkid=870924
Comment:
    Commission rate % of GMV is actually given
However, using given figures the calculated revenue figure does not tie.
Hence, select revenue as given and then alter consumer incentive to tie to final revenue. 
Difference not material
</t>
      </text>
    </comment>
    <comment ref="H27" authorId="4" shapeId="0" xr:uid="{51486C93-F24E-4FCF-83E3-CC8EF8D78A7C}">
      <text>
        <t>[Threaded comment]
Your version of Excel allows you to read this threaded comment; however, any edits to it will get removed if the file is opened in a newer version of Excel. Learn more: https://go.microsoft.com/fwlink/?linkid=870924
Comment:
    Hardcoded these cells since we are assuming that commission rates wont vary that much
Reply:
    Cells H27-H30</t>
      </text>
    </comment>
    <comment ref="M27" authorId="5" shapeId="0" xr:uid="{610B86C1-DA91-4C68-A1B4-8CD03A4C19B1}">
      <text>
        <t>[Threaded comment]
Your version of Excel allows you to read this threaded comment; however, any edits to it will get removed if the file is opened in a newer version of Excel. Learn more: https://go.microsoft.com/fwlink/?linkid=870924
Comment:
    Assume that commission rates don’t grow year 2025</t>
      </text>
    </comment>
    <comment ref="M28" authorId="6" shapeId="0" xr:uid="{15ED0703-BA28-44C5-9A1D-08C38285AA3A}">
      <text>
        <t>[Threaded comment]
Your version of Excel allows you to read this threaded comment; however, any edits to it will get removed if the file is opened in a newer version of Excel. Learn more: https://go.microsoft.com/fwlink/?linkid=870924
Comment:
    Assume commission rates doesn’t grow after 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tc={26B0685F-6035-4064-8694-C41E01431AC8}</author>
    <author>tc={6891E988-F40F-4B9C-8363-53DA371A829E}</author>
  </authors>
  <commentList>
    <comment ref="H5" authorId="0" shapeId="0" xr:uid="{26B0685F-6035-4064-8694-C41E01431AC8}">
      <text>
        <t>[Threaded comment]
Your version of Excel allows you to read this threaded comment; however, any edits to it will get removed if the file is opened in a newer version of Excel. Learn more: https://go.microsoft.com/fwlink/?linkid=870924
Comment:
    Cells H5: R5 need to check</t>
      </text>
    </comment>
    <comment ref="F31" authorId="1" shapeId="0" xr:uid="{6891E988-F40F-4B9C-8363-53DA371A829E}">
      <text>
        <t>[Threaded comment]
Your version of Excel allows you to read this threaded comment; however, any edits to it will get removed if the file is opened in a newer version of Excel. Learn more: https://go.microsoft.com/fwlink/?linkid=870924
Comment:
    Refer to page 124 of AR 21</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tc={581F0E5C-6F44-F845-BCE7-78C5FD8637CF}</author>
    <author>tc={9E1FE0D5-30AA-B04A-BFC3-869D7C8D43FA}</author>
    <author>tc={B545CB7B-AC29-614C-9FCA-3F002089666E}</author>
    <author>tc={C4378A13-AE51-2B4F-9ACE-F53F035B2586}</author>
  </authors>
  <commentList>
    <comment ref="U8" authorId="0" shapeId="0" xr:uid="{581F0E5C-6F44-F845-BCE7-78C5FD8637CF}">
      <text>
        <t>[Threaded comment]
Your version of Excel allows you to read this threaded comment; however, any edits to it will get removed if the file is opened in a newer version of Excel. Learn more: https://go.microsoft.com/fwlink/?linkid=870924
Comment:
    Refer to page 124 of AR 21</t>
      </text>
    </comment>
    <comment ref="J13" authorId="1" shapeId="0" xr:uid="{9E1FE0D5-30AA-B04A-BFC3-869D7C8D43FA}">
      <text>
        <t>[Threaded comment]
Your version of Excel allows you to read this threaded comment; however, any edits to it will get removed if the file is opened in a newer version of Excel. Learn more: https://go.microsoft.com/fwlink/?linkid=870924
Comment:
    Fix these cells.
They make the Q4 GMV make sense</t>
      </text>
    </comment>
    <comment ref="K13" authorId="2" shapeId="0" xr:uid="{B545CB7B-AC29-614C-9FCA-3F002089666E}">
      <text>
        <t>[Threaded comment]
Your version of Excel allows you to read this threaded comment; however, any edits to it will get removed if the file is opened in a newer version of Excel. Learn more: https://go.microsoft.com/fwlink/?linkid=870924
Comment:
    As high as they can be</t>
      </text>
    </comment>
    <comment ref="C36" authorId="3" shapeId="0" xr:uid="{C4378A13-AE51-2B4F-9ACE-F53F035B2586}">
      <text>
        <t>[Threaded comment]
Your version of Excel allows you to read this threaded comment; however, any edits to it will get removed if the file is opened in a newer version of Excel. Learn more: https://go.microsoft.com/fwlink/?linkid=870924
Comment:
    Refer to page 124 of AR 21</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tc={7CC34739-182C-4DF9-98FA-4A7C208BC6BA}</author>
  </authors>
  <commentList>
    <comment ref="C7" authorId="0" shapeId="0" xr:uid="{7CC34739-182C-4DF9-98FA-4A7C208BC6BA}">
      <text>
        <t>[Threaded comment]
Your version of Excel allows you to read this threaded comment; however, any edits to it will get removed if the file is opened in a newer version of Excel. Learn more: https://go.microsoft.com/fwlink/?linkid=870924
Comment:
    Page 144 of AR 21
Reply:
    The CRPS reserve comprises the equity component of the convertible redeemable preference shares. The conversion of CRPS shares into GHL
ordinary shares has resulted in the reclassification of the CRPS reserve to share premium within equity.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<sst xmlns="http://schemas.openxmlformats.org/spreadsheetml/2006/main" count="1914" uniqueCount="700">
  <si>
    <t>Revenue</t>
  </si>
  <si>
    <t>WACC</t>
  </si>
  <si>
    <t>Activity Ratios</t>
  </si>
  <si>
    <t>Profitability Ratios</t>
  </si>
  <si>
    <t>Capital Structure</t>
  </si>
  <si>
    <t xml:space="preserve">FIN3716 </t>
  </si>
  <si>
    <t xml:space="preserve">Financial Modelling </t>
  </si>
  <si>
    <t xml:space="preserve">Project 1 </t>
  </si>
  <si>
    <t xml:space="preserve">Valuation and Analysis of Grab Holdings Limited (NASDAQ: GRAB) </t>
  </si>
  <si>
    <t xml:space="preserve">Submitted by: </t>
  </si>
  <si>
    <t xml:space="preserve">Full Name </t>
  </si>
  <si>
    <t xml:space="preserve">Matriculation Number </t>
  </si>
  <si>
    <t xml:space="preserve">CHONG KHA LEK </t>
  </si>
  <si>
    <t xml:space="preserve">A0223918B </t>
  </si>
  <si>
    <t xml:space="preserve">LOH RUI XUAN CARINE </t>
  </si>
  <si>
    <t xml:space="preserve">A0203922N </t>
  </si>
  <si>
    <t xml:space="preserve">PHYLLIS POH LAY SUAN </t>
  </si>
  <si>
    <t xml:space="preserve">A0221494H </t>
  </si>
  <si>
    <t xml:space="preserve">TAN SHI YOU </t>
  </si>
  <si>
    <t xml:space="preserve">A0218335H </t>
  </si>
  <si>
    <t xml:space="preserve">TAN WEI YONG </t>
  </si>
  <si>
    <t xml:space="preserve">A0222772H </t>
  </si>
  <si>
    <t>('millions)</t>
  </si>
  <si>
    <t>2019A</t>
  </si>
  <si>
    <t>2020A</t>
  </si>
  <si>
    <t>2021A</t>
  </si>
  <si>
    <t>Q1</t>
  </si>
  <si>
    <t>Q2</t>
  </si>
  <si>
    <t>Q3</t>
  </si>
  <si>
    <t>Q4F</t>
  </si>
  <si>
    <t>2022F</t>
  </si>
  <si>
    <t>2023F</t>
  </si>
  <si>
    <t>2024F</t>
  </si>
  <si>
    <t>2025F</t>
  </si>
  <si>
    <t>2026F</t>
  </si>
  <si>
    <t>2027F</t>
  </si>
  <si>
    <t>2028F</t>
  </si>
  <si>
    <t>2029F</t>
  </si>
  <si>
    <t>2030F</t>
  </si>
  <si>
    <t>2031F</t>
  </si>
  <si>
    <t>Gross Revenue</t>
  </si>
  <si>
    <t xml:space="preserve">    Deliveries</t>
  </si>
  <si>
    <t xml:space="preserve">    Mobility</t>
  </si>
  <si>
    <t xml:space="preserve">    Financial Services</t>
  </si>
  <si>
    <t xml:space="preserve">    Enterprise and New Initiatives</t>
  </si>
  <si>
    <t>Cost of Revenue</t>
  </si>
  <si>
    <t>Gross Profit</t>
  </si>
  <si>
    <t>SGA, R&amp;D, DA, Financing costs</t>
  </si>
  <si>
    <t>Other Income</t>
  </si>
  <si>
    <t>Sales and Marketing</t>
  </si>
  <si>
    <t>General and administrative expenses</t>
  </si>
  <si>
    <t>Research and development expenses</t>
  </si>
  <si>
    <t>Net impairment losses on financial assets</t>
  </si>
  <si>
    <t>Share listing and assoc expenses</t>
  </si>
  <si>
    <t>Share of loss of equity</t>
  </si>
  <si>
    <t>EBITDA</t>
  </si>
  <si>
    <t>Depreciation PPE</t>
  </si>
  <si>
    <t>Amortization Intangible Assets</t>
  </si>
  <si>
    <t>Other Expenses</t>
  </si>
  <si>
    <t>EBIT</t>
  </si>
  <si>
    <t>Finance Income</t>
  </si>
  <si>
    <t>Finance Expense</t>
  </si>
  <si>
    <t>EBT</t>
  </si>
  <si>
    <t>Total Tax</t>
  </si>
  <si>
    <t>Net Income</t>
  </si>
  <si>
    <t>Dividends</t>
  </si>
  <si>
    <t>Retained Earnings</t>
  </si>
  <si>
    <t>ASSETS</t>
  </si>
  <si>
    <t>Cash Buffer</t>
  </si>
  <si>
    <t>Cash &amp; Cash Equivalents</t>
  </si>
  <si>
    <t>Inventories</t>
  </si>
  <si>
    <t>Trade and other receivables</t>
  </si>
  <si>
    <t>Prepayment and other assets</t>
  </si>
  <si>
    <t>Other investments</t>
  </si>
  <si>
    <t>Total Current Assets</t>
  </si>
  <si>
    <t>Property, Plant &amp; Equipment</t>
  </si>
  <si>
    <t>Intangible Assets and goodwill</t>
  </si>
  <si>
    <t>Associates and joint venture</t>
  </si>
  <si>
    <t>Defered tax assets</t>
  </si>
  <si>
    <t>Total Non-Current Assets</t>
  </si>
  <si>
    <t>Total Assets</t>
  </si>
  <si>
    <t>LIABILITIES</t>
  </si>
  <si>
    <t>Loans and borrowings</t>
  </si>
  <si>
    <t>Provisions</t>
  </si>
  <si>
    <t>Trade and other payables</t>
  </si>
  <si>
    <t>Current tax liabilities</t>
  </si>
  <si>
    <t>Total Current Liabilities</t>
  </si>
  <si>
    <t>Deferred Tax</t>
  </si>
  <si>
    <t>Other Non-Current Liabilities</t>
  </si>
  <si>
    <t>Total Non-Current Liabilities</t>
  </si>
  <si>
    <t>Total Liabilities</t>
  </si>
  <si>
    <t>EQUITY</t>
  </si>
  <si>
    <t>Share capital and share premium</t>
  </si>
  <si>
    <t>Non-controlling interests</t>
  </si>
  <si>
    <t>Total Shareholders' Equity</t>
  </si>
  <si>
    <t>Total Liabilities &amp; Equity</t>
  </si>
  <si>
    <t>PPE and Intangible Calculation</t>
  </si>
  <si>
    <t>Gross PPE</t>
  </si>
  <si>
    <t>PPE Accumulated Depreciation</t>
  </si>
  <si>
    <t>Gross Intangible</t>
  </si>
  <si>
    <t>Intangible Accumulated Amortization</t>
  </si>
  <si>
    <t>Free cash flow calculation</t>
  </si>
  <si>
    <t>Add back depreciation</t>
  </si>
  <si>
    <t>Subtract increase in current assets</t>
  </si>
  <si>
    <t>Add back increase in current liabilities</t>
  </si>
  <si>
    <t>Subtract increase in fixed assets at cost</t>
  </si>
  <si>
    <t>Add back after-tax interest on finance expense</t>
  </si>
  <si>
    <t>Subtract after-tax interest on finance income</t>
  </si>
  <si>
    <t>Free cash flow</t>
  </si>
  <si>
    <t>Valuing the firm using mid-year discounting</t>
  </si>
  <si>
    <t>Weighted average cost of capital</t>
  </si>
  <si>
    <t>Long-term free cash flow growth rate</t>
  </si>
  <si>
    <t>FCF</t>
  </si>
  <si>
    <t>Terminal value</t>
  </si>
  <si>
    <t>Total</t>
  </si>
  <si>
    <t>Add in initial (year 0) cash and mkt. securities</t>
  </si>
  <si>
    <t>Asset value in year 0</t>
  </si>
  <si>
    <t>Subtract out value of firm's debt today</t>
  </si>
  <si>
    <t xml:space="preserve"> </t>
  </si>
  <si>
    <t>Equity value</t>
  </si>
  <si>
    <t>Total number of shares</t>
  </si>
  <si>
    <t>Share price</t>
  </si>
  <si>
    <t>STOCK PRICE DATA TABLES</t>
  </si>
  <si>
    <t>alter WACC because most likely &gt; given &amp; high -ve effect on price</t>
  </si>
  <si>
    <t>margin could be a given for calibration</t>
  </si>
  <si>
    <t>stable state growth could be a given for calibration</t>
  </si>
  <si>
    <t>assume margin growth and stable state growth rate is given</t>
  </si>
  <si>
    <t>and WACC &gt; given is true</t>
  </si>
  <si>
    <t>either Revenue must increase &gt; given</t>
  </si>
  <si>
    <t>or expenses &lt; given</t>
  </si>
  <si>
    <t>or CA investment is &lt; given</t>
  </si>
  <si>
    <t>or FA investment &lt; given</t>
  </si>
  <si>
    <t>or CL increases &gt; given</t>
  </si>
  <si>
    <t>simplifying assumption: assume capital structure does not change</t>
  </si>
  <si>
    <t>Revenue Growth Rate</t>
  </si>
  <si>
    <t>&lt;&lt;&lt; original</t>
  </si>
  <si>
    <t>Gross Profit Margin</t>
  </si>
  <si>
    <t>GP margin adjuster</t>
  </si>
  <si>
    <t>GMV Growth</t>
  </si>
  <si>
    <t>Deliveries</t>
  </si>
  <si>
    <t>Mobility</t>
  </si>
  <si>
    <t>Financial Services</t>
  </si>
  <si>
    <t>Enterprise and New incentives</t>
  </si>
  <si>
    <t>Enterprise value targeted to increase to $1b by 2025F, hence growing at a value of $33m YOY</t>
  </si>
  <si>
    <t>GMV (millions)</t>
  </si>
  <si>
    <t>Deliveries (GMV)</t>
  </si>
  <si>
    <t>Mobility (GMV)</t>
  </si>
  <si>
    <t>Financial Services (GMV)</t>
  </si>
  <si>
    <t>Enterprise and New initiatives (GMV)</t>
  </si>
  <si>
    <t>Commission rate %</t>
  </si>
  <si>
    <t>Commissions</t>
  </si>
  <si>
    <t>Consumer Incentives (millions)</t>
  </si>
  <si>
    <t>Consumer Incentive % of GMV</t>
  </si>
  <si>
    <t>Partner Incentives (millions)</t>
  </si>
  <si>
    <t>Partner incentive rate % of GMV</t>
  </si>
  <si>
    <t>Final Revenue (calculated)</t>
  </si>
  <si>
    <t>Final Revenue (reported)</t>
  </si>
  <si>
    <t>Implied Revenue Growth</t>
  </si>
  <si>
    <t>Expenses before EBITDA</t>
  </si>
  <si>
    <t>I26</t>
  </si>
  <si>
    <t>I44</t>
  </si>
  <si>
    <t>I62</t>
  </si>
  <si>
    <t>Depre, amort, other expenses</t>
  </si>
  <si>
    <t>Financing costs, interest income</t>
  </si>
  <si>
    <t>Taxes, NI, dividends, Retained earnings</t>
  </si>
  <si>
    <t>Dividend Pay Out Ratio</t>
  </si>
  <si>
    <t>Current Asset Ratios</t>
  </si>
  <si>
    <t>Fixed Asset Ratios</t>
  </si>
  <si>
    <t>PPE turnover</t>
  </si>
  <si>
    <t>Current Liabilities ratios</t>
  </si>
  <si>
    <t>Current Liabilities Turnover</t>
  </si>
  <si>
    <t>Equity assumptions</t>
  </si>
  <si>
    <t>Fixed Asset Assumptions</t>
  </si>
  <si>
    <t>GMV turnover per PPE asset</t>
  </si>
  <si>
    <t>Computers</t>
  </si>
  <si>
    <t>Buildings and Reno</t>
  </si>
  <si>
    <t>Motor vehicles for leasing</t>
  </si>
  <si>
    <t>Office and other equipment</t>
  </si>
  <si>
    <t>GMV turnover per int asset</t>
  </si>
  <si>
    <t>Software</t>
  </si>
  <si>
    <t>Goodwill</t>
  </si>
  <si>
    <t>Non-compete agreement</t>
  </si>
  <si>
    <t>other intangible assets</t>
  </si>
  <si>
    <t>Total Net PPE value</t>
  </si>
  <si>
    <t>asset value per asset type</t>
  </si>
  <si>
    <t>asset Value per asset type (non-turnover)</t>
  </si>
  <si>
    <t>Total Net PPE Value</t>
  </si>
  <si>
    <t>Total Net Intangibles Value</t>
  </si>
  <si>
    <t>Implied PPE rev turnover</t>
  </si>
  <si>
    <t>Implied Intangibles rev turnover</t>
  </si>
  <si>
    <t>Useful life of asset types</t>
  </si>
  <si>
    <t>Intangibles</t>
  </si>
  <si>
    <t>assume goodwill infinite life</t>
  </si>
  <si>
    <t>assume non recurring</t>
  </si>
  <si>
    <t>PPE</t>
  </si>
  <si>
    <t>Calculated Depreciation rates</t>
  </si>
  <si>
    <t>Current Asset Assumptions</t>
  </si>
  <si>
    <t>GMV receivables turnovers (avg)</t>
  </si>
  <si>
    <t>GMV mobility and del turnover</t>
  </si>
  <si>
    <t>GMV "others" turnover</t>
  </si>
  <si>
    <t>Receivables required</t>
  </si>
  <si>
    <t>Turnover Ratios</t>
  </si>
  <si>
    <t>Mobility and delivery</t>
  </si>
  <si>
    <t>financial services and enterprise</t>
  </si>
  <si>
    <t>Implied receivables rev turnover</t>
  </si>
  <si>
    <t>Current Liabilities Assumptions</t>
  </si>
  <si>
    <t>Trade payables turnover (GMV)</t>
  </si>
  <si>
    <t>Trade Payables Balance</t>
  </si>
  <si>
    <t>Forecast for Cost of Revenue</t>
  </si>
  <si>
    <t>FY19</t>
  </si>
  <si>
    <t>FY20</t>
  </si>
  <si>
    <t>FY21</t>
  </si>
  <si>
    <t>Q1FY22</t>
  </si>
  <si>
    <t>Q2FY22</t>
  </si>
  <si>
    <t>Q3FY22</t>
  </si>
  <si>
    <t>Q4FY22</t>
  </si>
  <si>
    <t>FY22F</t>
  </si>
  <si>
    <t>FY23</t>
  </si>
  <si>
    <t>FY24</t>
  </si>
  <si>
    <t>FY25</t>
  </si>
  <si>
    <t>FY26</t>
  </si>
  <si>
    <t>FY27</t>
  </si>
  <si>
    <t>FY28</t>
  </si>
  <si>
    <t>FY29</t>
  </si>
  <si>
    <t>FY30</t>
  </si>
  <si>
    <t>FY31</t>
  </si>
  <si>
    <t>Net Revenue</t>
  </si>
  <si>
    <t>Total Incentives</t>
  </si>
  <si>
    <t>Cost of Revenue as % of Gross Revenue</t>
  </si>
  <si>
    <t xml:space="preserve">Gross Margin </t>
  </si>
  <si>
    <t>YoY % of Cost of Revenue</t>
  </si>
  <si>
    <t>Forecasted Improvement</t>
  </si>
  <si>
    <t>Average Improvement over 3 Periods</t>
  </si>
  <si>
    <t>Forecast for Sales &amp; Marketing Expenses</t>
  </si>
  <si>
    <t>Technology Industry Market Leaders Expenses as a % of Gross Revenue</t>
  </si>
  <si>
    <t>Company</t>
  </si>
  <si>
    <t xml:space="preserve">Market Cap in USD </t>
  </si>
  <si>
    <t>% Weights</t>
  </si>
  <si>
    <t>Sales, Marketing, General &amp; Admin Expense</t>
  </si>
  <si>
    <t>R&amp;D Expense</t>
  </si>
  <si>
    <t>Apple</t>
  </si>
  <si>
    <t>Microsoft</t>
  </si>
  <si>
    <t>Sales &amp; Marketing as % of Gross Revenue</t>
  </si>
  <si>
    <t>Alphabet</t>
  </si>
  <si>
    <t>Weighted Expenses</t>
  </si>
  <si>
    <t>CAGR</t>
  </si>
  <si>
    <t>YoY % Growth of Sales &amp; Marketing</t>
  </si>
  <si>
    <t>Forecasted Growth</t>
  </si>
  <si>
    <t>Average YoY Growth over 3 Periods</t>
  </si>
  <si>
    <t>Forecast for General &amp; Administrative Expenses</t>
  </si>
  <si>
    <t>General &amp; Admin as % of Gross Revenue</t>
  </si>
  <si>
    <t xml:space="preserve">YoY % Growth of General &amp; Admin </t>
  </si>
  <si>
    <t>Forecast for Research &amp; Development Expenses</t>
  </si>
  <si>
    <t>R&amp;D as % of Gross Revenue</t>
  </si>
  <si>
    <t>YoY % Growth of R&amp;D</t>
  </si>
  <si>
    <t xml:space="preserve">Numbers modelled for Report Figures to be deleted: </t>
  </si>
  <si>
    <t>FY22</t>
  </si>
  <si>
    <t>Forecast for General &amp; Admin Expenses</t>
  </si>
  <si>
    <t>Forecast for Research &amp; Developmental Expenses</t>
  </si>
  <si>
    <t>Research &amp; Development as % of Gross Revenue</t>
  </si>
  <si>
    <t>Total Revenue as a Percentage of GMV By Business Segment</t>
  </si>
  <si>
    <t xml:space="preserve">CAGR </t>
  </si>
  <si>
    <t>Ride Hailing Market Size ('M USD)</t>
  </si>
  <si>
    <t>Category</t>
  </si>
  <si>
    <t>Data Type</t>
  </si>
  <si>
    <t>Unit</t>
  </si>
  <si>
    <t>Currency Conversion</t>
  </si>
  <si>
    <t>Current Constant</t>
  </si>
  <si>
    <t>Indonesia</t>
  </si>
  <si>
    <t>Ride Hailing</t>
  </si>
  <si>
    <t>Retail Value RSP</t>
  </si>
  <si>
    <t>USD million</t>
  </si>
  <si>
    <t>y-o-y ex rates</t>
  </si>
  <si>
    <t>Current Prices</t>
  </si>
  <si>
    <t>Malaysia</t>
  </si>
  <si>
    <t>Philippines</t>
  </si>
  <si>
    <t>Singapore</t>
  </si>
  <si>
    <t>Thailand</t>
  </si>
  <si>
    <t xml:space="preserve">*Cambodia excluded since there is no data </t>
  </si>
  <si>
    <t>Vietnam</t>
  </si>
  <si>
    <t xml:space="preserve">Total Market Size </t>
  </si>
  <si>
    <t>Grab's Market Share</t>
  </si>
  <si>
    <t>Growth</t>
  </si>
  <si>
    <t>Research Sources:</t>
  </si>
  <si>
    <t>Market Sizes | Historical/Forecast</t>
  </si>
  <si>
    <t>Mobility: Euromonitor from trade sources/national statistics</t>
  </si>
  <si>
    <t>Date Exported (GMT): 3/7/2023 9:02:29 AM</t>
  </si>
  <si>
    <t>© Euromonitor International</t>
  </si>
  <si>
    <t xml:space="preserve">Weighted Market Share </t>
  </si>
  <si>
    <t>x</t>
  </si>
  <si>
    <t>Country</t>
  </si>
  <si>
    <t>% Market Share</t>
  </si>
  <si>
    <t>Weighted Market Share</t>
  </si>
  <si>
    <t>Rest of SEA (Indonesia, Cambodia and Vietnam)</t>
  </si>
  <si>
    <t>Deliveries Revenue Growth Rate</t>
  </si>
  <si>
    <t>Sources:</t>
  </si>
  <si>
    <t>Statista: https://www.statista.com/outlook/dmo/online-food-delivery/grocery-delivery/worldwide?currency=USD</t>
  </si>
  <si>
    <t xml:space="preserve">Assume that GMV grows at the same rate as Revenue given relatively unchanging commission rate </t>
  </si>
  <si>
    <t xml:space="preserve">Real GDP Growth  + Inflation = </t>
  </si>
  <si>
    <t>( Source:</t>
  </si>
  <si>
    <t>Market: Online Food Delivery - Grocery Delivery, Region: Worldwide, Currency: USD )</t>
  </si>
  <si>
    <t>REVENUE COMPARISON in billion USD (US$)</t>
  </si>
  <si>
    <t>Projected FCF for Online Food Deliveries in South-East Asia from 2022F to 2031F</t>
  </si>
  <si>
    <t>Derivation of Deliveries' Revenue for 2030F</t>
  </si>
  <si>
    <t>Column1</t>
  </si>
  <si>
    <t>2017</t>
  </si>
  <si>
    <t>2018</t>
  </si>
  <si>
    <t>2019</t>
  </si>
  <si>
    <t>2020</t>
  </si>
  <si>
    <t>2021</t>
  </si>
  <si>
    <t>2022</t>
  </si>
  <si>
    <t>2023</t>
  </si>
  <si>
    <t>2024</t>
  </si>
  <si>
    <t>2025</t>
  </si>
  <si>
    <t>2026</t>
  </si>
  <si>
    <t>2027</t>
  </si>
  <si>
    <t>M (USD)</t>
  </si>
  <si>
    <t>Change in Revenue in each country from 2027-2030</t>
  </si>
  <si>
    <t>Weight (by Revenue in FY2022)</t>
  </si>
  <si>
    <t>Total Revenue (exc. Indonesia &amp; Cambodia)</t>
  </si>
  <si>
    <t>Albania</t>
  </si>
  <si>
    <t xml:space="preserve">Weighted Ave. Change in Revenue </t>
  </si>
  <si>
    <t>Algeria</t>
  </si>
  <si>
    <t>Angola</t>
  </si>
  <si>
    <t>Argentina</t>
  </si>
  <si>
    <t>Armenia</t>
  </si>
  <si>
    <t>Australia</t>
  </si>
  <si>
    <t>Cambodia</t>
  </si>
  <si>
    <t>*Higher Growth rate expected for Indonesia and Cambodia</t>
  </si>
  <si>
    <t>Austria</t>
  </si>
  <si>
    <t>Azerbaijan</t>
  </si>
  <si>
    <t>Bahrain</t>
  </si>
  <si>
    <t>GMV Growth Rate (Total)</t>
  </si>
  <si>
    <t>Bangladesh</t>
  </si>
  <si>
    <t>Derivation of FCF for 2028F and 2029F</t>
  </si>
  <si>
    <t>Belarus</t>
  </si>
  <si>
    <t>Belgium</t>
  </si>
  <si>
    <t>YoY%</t>
  </si>
  <si>
    <t>Belize</t>
  </si>
  <si>
    <t>Benin</t>
  </si>
  <si>
    <t>Bhutan</t>
  </si>
  <si>
    <t>Bolivia</t>
  </si>
  <si>
    <t>Bosnia and Herzegovina</t>
  </si>
  <si>
    <t>Botswana</t>
  </si>
  <si>
    <t>Brazil</t>
  </si>
  <si>
    <t>% change in YoY % Change</t>
  </si>
  <si>
    <t>Brunei Darussalam</t>
  </si>
  <si>
    <t>Bulgaria</t>
  </si>
  <si>
    <t>Burkina Faso</t>
  </si>
  <si>
    <t>Burundi</t>
  </si>
  <si>
    <t>Cameroon</t>
  </si>
  <si>
    <t>Canada</t>
  </si>
  <si>
    <t>Chad</t>
  </si>
  <si>
    <t>Projected Growth in Grab's Market Share in South-East Asia Deliveries Market</t>
  </si>
  <si>
    <t>Chile</t>
  </si>
  <si>
    <t>China</t>
  </si>
  <si>
    <t>Grab's Market Share %</t>
  </si>
  <si>
    <t>Colombia</t>
  </si>
  <si>
    <t>Costa Rica</t>
  </si>
  <si>
    <t>Calculation of Long-term FCF Growth Rate (Source: EuroMonitor)</t>
  </si>
  <si>
    <t>Croatia</t>
  </si>
  <si>
    <t>Economies and Consumers Annual Data | Historical/Forecast</t>
  </si>
  <si>
    <t>Cuba</t>
  </si>
  <si>
    <t>Geography</t>
  </si>
  <si>
    <t>2028</t>
  </si>
  <si>
    <t>2029</t>
  </si>
  <si>
    <t>2030</t>
  </si>
  <si>
    <t>2031</t>
  </si>
  <si>
    <t>Cyprus</t>
  </si>
  <si>
    <t>Inflation</t>
  </si>
  <si>
    <t>Socio-economic indicators</t>
  </si>
  <si>
    <t>% growth</t>
  </si>
  <si>
    <t>-</t>
  </si>
  <si>
    <t>Czechia</t>
  </si>
  <si>
    <t>Denmark</t>
  </si>
  <si>
    <t>Dominican Republic</t>
  </si>
  <si>
    <t>Ecuador</t>
  </si>
  <si>
    <t>Egypt</t>
  </si>
  <si>
    <t>El Salvador</t>
  </si>
  <si>
    <t>Equatorial Guinea</t>
  </si>
  <si>
    <t>Real GDP Growth</t>
  </si>
  <si>
    <t>Estonia</t>
  </si>
  <si>
    <t>Ethiopia</t>
  </si>
  <si>
    <t>Fiji</t>
  </si>
  <si>
    <t>Finland</t>
  </si>
  <si>
    <t>France</t>
  </si>
  <si>
    <t>Gabon</t>
  </si>
  <si>
    <t>Gambia</t>
  </si>
  <si>
    <t>Georgia</t>
  </si>
  <si>
    <t xml:space="preserve">Average Inflation Rate </t>
  </si>
  <si>
    <t>Germany</t>
  </si>
  <si>
    <t>Average Real GDP Growth Rate</t>
  </si>
  <si>
    <t>Ghana</t>
  </si>
  <si>
    <t>Greece</t>
  </si>
  <si>
    <t>Guatemala</t>
  </si>
  <si>
    <t>Guinea</t>
  </si>
  <si>
    <t>Guyana</t>
  </si>
  <si>
    <t>Haiti</t>
  </si>
  <si>
    <t>Honduras</t>
  </si>
  <si>
    <t>Hungary</t>
  </si>
  <si>
    <t>Iceland</t>
  </si>
  <si>
    <t>India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</si>
  <si>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</si>
  <si>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</si>
  <si>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</si>
  <si>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</si>
  <si>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</si>
  <si>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</si>
  <si>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</si>
  <si>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</si>
  <si>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</si>
  <si>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</si>
  <si>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</si>
  <si>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</si>
  <si>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</si>
  <si>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</si>
  <si>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</si>
  <si>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</si>
  <si>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</si>
  <si>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</si>
  <si>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</si>
  <si>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</si>
  <si>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</si>
  <si>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</si>
  <si>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</si>
  <si>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</si>
  <si>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</si>
  <si>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</si>
  <si>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</si>
  <si>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</si>
  <si>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</si>
  <si>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</si>
  <si>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</si>
  <si>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</si>
  <si>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</si>
  <si>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</si>
  <si>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</si>
  <si>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</si>
  <si>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</si>
  <si>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</si>
  <si>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</si>
  <si>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</si>
  <si>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</si>
  <si>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</si>
  <si>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</si>
  <si>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</si>
  <si>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</si>
  <si>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Poland</t>
  </si>
  <si>
    <t>Portugal</t>
  </si>
  <si>
    <t>Qatar</t>
  </si>
  <si>
    <t>Republic of the Congo</t>
  </si>
  <si>
    <t>Romania</t>
  </si>
  <si>
    <t>Russia</t>
  </si>
  <si>
    <t>Rwanda</t>
  </si>
  <si>
    <t>Saudi Arabia</t>
  </si>
  <si>
    <t>Senegal</t>
  </si>
  <si>
    <t>Serbia</t>
  </si>
  <si>
    <t>Seychelles</t>
  </si>
  <si>
    <t>Sierra Leone</t>
  </si>
  <si>
    <t>Slovakia</t>
  </si>
  <si>
    <t>Slovenia</t>
  </si>
  <si>
    <t>South Africa</t>
  </si>
  <si>
    <t>South Korea</t>
  </si>
  <si>
    <t>Spain</t>
  </si>
  <si>
    <t>Sri Lanka</t>
  </si>
  <si>
    <t>Sudan</t>
  </si>
  <si>
    <t>Suriname</t>
  </si>
  <si>
    <t>Sweden</t>
  </si>
  <si>
    <t>Switzerland</t>
  </si>
  <si>
    <t>Tajikistan</t>
  </si>
  <si>
    <t>Tanzania</t>
  </si>
  <si>
    <t>Timor-Leste</t>
  </si>
  <si>
    <t>Togo</t>
  </si>
  <si>
    <t>Tunisia</t>
  </si>
  <si>
    <t>Turkey</t>
  </si>
  <si>
    <t>Turkmenistan</t>
  </si>
  <si>
    <t>Uganda</t>
  </si>
  <si>
    <t>Ukraine</t>
  </si>
  <si>
    <t>United Arab Emirates</t>
  </si>
  <si>
    <t>United Kingdom</t>
  </si>
  <si>
    <t>United States</t>
  </si>
  <si>
    <t>Uruguay</t>
  </si>
  <si>
    <t>Uzbekistan</t>
  </si>
  <si>
    <t>Zambia</t>
  </si>
  <si>
    <t>Zimbabwe</t>
  </si>
  <si>
    <t>Sources</t>
  </si>
  <si>
    <t>Statista</t>
  </si>
  <si>
    <t>Most recent update:</t>
  </si>
  <si>
    <t>11/01/2022</t>
  </si>
  <si>
    <t>Total Non-Card Transactions</t>
  </si>
  <si>
    <t>Fixed 2022 ex rates</t>
  </si>
  <si>
    <t>Commercial Payment Transactions</t>
  </si>
  <si>
    <t>Personal Payment Transactions</t>
  </si>
  <si>
    <t>Transactions</t>
  </si>
  <si>
    <t>Total of the 4 Catergories</t>
  </si>
  <si>
    <t>Geography (Rate of Growth, Total)</t>
  </si>
  <si>
    <t>Year</t>
  </si>
  <si>
    <t>E-wallet Market Size</t>
  </si>
  <si>
    <t>Grab's Share of the E-wallet industry (%)</t>
  </si>
  <si>
    <t>Grab's Share of the E-wallet industry ($)</t>
  </si>
  <si>
    <t>(%) change</t>
  </si>
  <si>
    <t xml:space="preserve">(%) change rounded </t>
  </si>
  <si>
    <t>start</t>
  </si>
  <si>
    <t>end</t>
  </si>
  <si>
    <t>10 years</t>
  </si>
  <si>
    <t>Start Year</t>
  </si>
  <si>
    <t>End year target</t>
  </si>
  <si>
    <t>Percentage change from start to end</t>
  </si>
  <si>
    <t>"(end - start) / start "</t>
  </si>
  <si>
    <t>What you finally have</t>
  </si>
  <si>
    <t>"start + change" (in percentages)</t>
  </si>
  <si>
    <t>&lt;&lt;&lt; you want only 63.799 % of the starting percentage</t>
  </si>
  <si>
    <t>Assuming constant growth rate</t>
  </si>
  <si>
    <t>"(1 + x)^10 = 0.6379928"</t>
  </si>
  <si>
    <t>therefore</t>
  </si>
  <si>
    <t>x = (0.6379928)^(1/10) - 1</t>
  </si>
  <si>
    <t>2022Q1</t>
  </si>
  <si>
    <t>2022Q2</t>
  </si>
  <si>
    <t>2022Q3</t>
  </si>
  <si>
    <t>Net Additions</t>
  </si>
  <si>
    <t>Accumulated Depreciation</t>
  </si>
  <si>
    <t>Carrying Value</t>
  </si>
  <si>
    <t>Carrying Value (reported)</t>
  </si>
  <si>
    <t>Implied Depreciation</t>
  </si>
  <si>
    <t>Implied Depreciation rate</t>
  </si>
  <si>
    <t>Implied useful lives</t>
  </si>
  <si>
    <t>Revenue Generated by segment</t>
  </si>
  <si>
    <t>deliveries</t>
  </si>
  <si>
    <t>mobility</t>
  </si>
  <si>
    <t>finance services</t>
  </si>
  <si>
    <t>enterprise</t>
  </si>
  <si>
    <t>GMV generated by segment</t>
  </si>
  <si>
    <t>Implied GMV turnover per PPE asset</t>
  </si>
  <si>
    <t>Implied turnover per PPE asset</t>
  </si>
  <si>
    <t>Gross intangibles</t>
  </si>
  <si>
    <t>Accumulated amortization</t>
  </si>
  <si>
    <t>Implied Amortization</t>
  </si>
  <si>
    <t>Implied GMV turnover per int asset</t>
  </si>
  <si>
    <t>Trade and Other Receivables</t>
  </si>
  <si>
    <t>GMV values</t>
  </si>
  <si>
    <t>Mobility &amp; Deliveries</t>
  </si>
  <si>
    <t>Others</t>
  </si>
  <si>
    <t>Trade and other receivables value</t>
  </si>
  <si>
    <t>attributable to mobility and del</t>
  </si>
  <si>
    <t>&lt;&lt;&lt; 0.9 is an arbitrary number. FS states that most receivables relate to mobility and deliveries</t>
  </si>
  <si>
    <t>attributable to rest</t>
  </si>
  <si>
    <t>&lt;&lt;&lt; no other information provided</t>
  </si>
  <si>
    <t>GMV receivables turnovers</t>
  </si>
  <si>
    <t>Current liabilities</t>
  </si>
  <si>
    <t>22Q1</t>
  </si>
  <si>
    <t>22Q2</t>
  </si>
  <si>
    <t>22Q3</t>
  </si>
  <si>
    <t>AVERAGE</t>
  </si>
  <si>
    <t>Total GMV</t>
  </si>
  <si>
    <t>Total payables turnover</t>
  </si>
  <si>
    <t>Equity Value</t>
  </si>
  <si>
    <t>&lt;&lt;&lt; Millions</t>
  </si>
  <si>
    <t>Share Price 3 March 2023</t>
  </si>
  <si>
    <t>&lt;&lt;&lt; Yahoo Finance</t>
  </si>
  <si>
    <t>Shares Outstanding</t>
  </si>
  <si>
    <t>Market Capitalization</t>
  </si>
  <si>
    <t>Cost of Equity</t>
  </si>
  <si>
    <t>* Ignore Asset Beta</t>
  </si>
  <si>
    <t>Beta (Yahoo)</t>
  </si>
  <si>
    <t>Beta (Barron's)</t>
  </si>
  <si>
    <t>Beta (Bloomberg)</t>
  </si>
  <si>
    <t>Beta (Regression)</t>
  </si>
  <si>
    <t>Final Beta</t>
  </si>
  <si>
    <t>e(Rm) past 25years</t>
  </si>
  <si>
    <t>&lt;&lt;&lt; mckinsey</t>
  </si>
  <si>
    <t>https://www.mckinsey.com/capabilities/strategy-and-corporate-finance/our-insights/prime-numbers/markets-will-be-markets-an-analysis-of-long-term-returns-from-the-s-and-p-500</t>
  </si>
  <si>
    <t>10Y risk free rate</t>
  </si>
  <si>
    <t>&lt;&lt;&lt; Ycharts</t>
  </si>
  <si>
    <t>https://ycharts.com/indicators/10_year_treasury_rate</t>
  </si>
  <si>
    <t>Cost of equity</t>
  </si>
  <si>
    <t>Debt Value</t>
  </si>
  <si>
    <t>Current Loans and Borrowings</t>
  </si>
  <si>
    <t>Loans and Borrowings</t>
  </si>
  <si>
    <t>Cash and Cash Equivalents</t>
  </si>
  <si>
    <t>Net Debt</t>
  </si>
  <si>
    <t>Tax Rate</t>
  </si>
  <si>
    <t>&lt;&lt;&lt; hardcoded</t>
  </si>
  <si>
    <t>Take Tax Rate given at 20%</t>
  </si>
  <si>
    <t>Has formula which states</t>
  </si>
  <si>
    <t>In simple words: If Forecasted net income &gt; 0, tax rate = 20%, else, 0%</t>
  </si>
  <si>
    <t>In the values Sheet: tax = minimum of calculated tax or -10</t>
  </si>
  <si>
    <t>Cost of Debt</t>
  </si>
  <si>
    <t>2019 Interest %</t>
  </si>
  <si>
    <t>2020 Interest %</t>
  </si>
  <si>
    <t>2021 Interest %</t>
  </si>
  <si>
    <t>2022Q1 Interest %</t>
  </si>
  <si>
    <t>2022Q2 Interest %</t>
  </si>
  <si>
    <t>2022Q3 Interest %</t>
  </si>
  <si>
    <t>average cost of debt excl 2021</t>
  </si>
  <si>
    <t>Regression for cost of Equity</t>
  </si>
  <si>
    <t>Date</t>
  </si>
  <si>
    <t>GRAB price</t>
  </si>
  <si>
    <t>^SP500TR</t>
  </si>
  <si>
    <t>GRAB (ln returns)</t>
  </si>
  <si>
    <t>SP (ln returns)</t>
  </si>
  <si>
    <t>SUMMARY OUTPUT</t>
  </si>
  <si>
    <t>Regression Statistics</t>
  </si>
  <si>
    <t>Multiple R</t>
  </si>
  <si>
    <t>R Square</t>
  </si>
  <si>
    <t>Adjusted R Square</t>
  </si>
  <si>
    <t>Standard Error</t>
  </si>
  <si>
    <t>Observations</t>
  </si>
  <si>
    <t>ANOVA</t>
  </si>
  <si>
    <t>df</t>
  </si>
  <si>
    <t>Regression</t>
  </si>
  <si>
    <t>Residual</t>
  </si>
  <si>
    <t>Coefficients</t>
  </si>
  <si>
    <t>Intercept</t>
  </si>
  <si>
    <t>BETA</t>
  </si>
  <si>
    <t>Alternative WACC Calculation (CAPM)</t>
  </si>
  <si>
    <t>Alternate Method of WACC Derivation:</t>
  </si>
  <si>
    <t>Weighted Average of MRP and Tax</t>
  </si>
  <si>
    <t>Interest expense</t>
  </si>
  <si>
    <t>Risk Premium</t>
  </si>
  <si>
    <t xml:space="preserve">Tax </t>
  </si>
  <si>
    <t>Interest expense of convertible preference shares</t>
  </si>
  <si>
    <t>Total Interest Bearing Liabilities</t>
  </si>
  <si>
    <t>Cost Of Equity</t>
  </si>
  <si>
    <t>Risk-free Rate</t>
  </si>
  <si>
    <t>Market Risk Premium</t>
  </si>
  <si>
    <t>Unlevered Beta</t>
  </si>
  <si>
    <t>*Exclude Myanmmar as political scene is unstable resulting in overinflated MRP Assume that revenue is split equally among Indonesia and Vietnam, Cambodia</t>
  </si>
  <si>
    <t>Levered Beta</t>
  </si>
  <si>
    <t xml:space="preserve">WACC </t>
  </si>
  <si>
    <t>Weight of Debt</t>
  </si>
  <si>
    <t>Weight of Equity</t>
  </si>
  <si>
    <t xml:space="preserve">Unlevered Beta by Business Segments: </t>
  </si>
  <si>
    <t>Delivery</t>
  </si>
  <si>
    <t xml:space="preserve">Total Interest Bearing Liabilities </t>
  </si>
  <si>
    <t>Total Equity (Book Value)</t>
  </si>
  <si>
    <t>Total Equity (Market Value)</t>
  </si>
  <si>
    <t>Debt-to-Equity Ratio</t>
  </si>
  <si>
    <t>Tax</t>
  </si>
  <si>
    <t>Beta</t>
  </si>
  <si>
    <t>Weighted Unlevered Beta</t>
  </si>
  <si>
    <t>Deliveroo</t>
  </si>
  <si>
    <t>Delivery Hero SE (Food Panda)</t>
  </si>
  <si>
    <t>Uber</t>
  </si>
  <si>
    <t>Unlevered Beta (Delivery)</t>
  </si>
  <si>
    <t>Comfort Delgro</t>
  </si>
  <si>
    <t>Lyft</t>
  </si>
  <si>
    <t>Unlevered Beta (Mobility)</t>
  </si>
  <si>
    <t>Financial Services (Payment Processors)</t>
  </si>
  <si>
    <t>Paypal</t>
  </si>
  <si>
    <t>Block Inc</t>
  </si>
  <si>
    <t>American Express</t>
  </si>
  <si>
    <t>Unlevered Beta (Financial Services)</t>
  </si>
  <si>
    <t>Consolidated Table of GMV, Incentives and Commission Rate by Business Segment</t>
  </si>
  <si>
    <t>Taken from the Annual report and Quarterly Reports</t>
  </si>
  <si>
    <t>Historical</t>
  </si>
  <si>
    <t>Forecasted</t>
  </si>
  <si>
    <t>Deliveries GMV</t>
  </si>
  <si>
    <t>Mobilitity GMV</t>
  </si>
  <si>
    <t>Financial Services GMV</t>
  </si>
  <si>
    <t>Enterprise and New Initiatives GMV</t>
  </si>
  <si>
    <t>Enterprise and New Initiatives</t>
  </si>
  <si>
    <t xml:space="preserve">  Partner's Incentives</t>
  </si>
  <si>
    <t xml:space="preserve">  Consumer's Incentives</t>
  </si>
  <si>
    <t>Total Incentives for Deliveries % of GMV</t>
  </si>
  <si>
    <t>Total Incentives for Mobility % of GMV</t>
  </si>
  <si>
    <t>Total Incentives for Financial Services % of GMV</t>
  </si>
  <si>
    <t>Deliveries Commision Rate</t>
  </si>
  <si>
    <t xml:space="preserve">  Partner's Incentives % of GMV</t>
  </si>
  <si>
    <t xml:space="preserve">  Consumer's Incentives % of GMV</t>
  </si>
  <si>
    <t>Mobility Commission Rate</t>
  </si>
  <si>
    <t>Financial Services Commission Rate</t>
  </si>
  <si>
    <t>Enterprises Commission Rate</t>
  </si>
  <si>
    <t>Table of detailed Breakdown of Calculations</t>
  </si>
  <si>
    <t>Grab's cut pre incentive</t>
  </si>
  <si>
    <t>Final Revenue Reported (Net of Incentives)</t>
  </si>
  <si>
    <t>Incentives given out</t>
  </si>
  <si>
    <t>Partner Incentives</t>
  </si>
  <si>
    <t>Sense check</t>
  </si>
  <si>
    <t>Consumer Incentives</t>
  </si>
  <si>
    <t>Final Revneue</t>
  </si>
  <si>
    <t>Final Revenue Sense Check</t>
  </si>
  <si>
    <t>this is basically hardcoded and independent</t>
  </si>
  <si>
    <t>this is determined by each resepective segment</t>
  </si>
  <si>
    <t>growth rate tab</t>
  </si>
  <si>
    <t>let B1 = Year 1 Sales Growth Rate</t>
  </si>
  <si>
    <t>Let B2 = Year 1 SAC / sales Ratio</t>
  </si>
  <si>
    <t>Let B3 = Year 1 Receivables turnover</t>
  </si>
  <si>
    <t>Enterprise value</t>
  </si>
  <si>
    <t>SAC expenses</t>
  </si>
  <si>
    <t>Revenue growth rate</t>
  </si>
  <si>
    <t>(other income, R&amp;D, SG&amp;A)</t>
  </si>
  <si>
    <t>SAC / Sales Ratio</t>
  </si>
  <si>
    <t>&lt;&lt;&lt; linked</t>
  </si>
  <si>
    <t>assume fixed. No linkage</t>
  </si>
  <si>
    <t>&lt;&lt;&lt; derive this</t>
  </si>
  <si>
    <t>&lt;&lt;&lt; linked very crudely</t>
  </si>
  <si>
    <t>&lt;&lt;&lt; linked circular reference</t>
  </si>
  <si>
    <t>assume fixed</t>
  </si>
  <si>
    <t>Depreciation Rates</t>
  </si>
  <si>
    <t>B1, B2, 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</si>
</sst>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_);_(* \(#,##0.00\);_(* &quot;-&quot;??_);_(@_)"/>
    <numFmt numFmtId="164" formatCode="_-* #,##0.00_-;\-* #,##0.00_-;_-* &quot;-&quot;??_-;_-@_-"/>
    <numFmt numFmtId="165" formatCode="0.0%"/>
    <numFmt numFmtId="166" formatCode="#,##0.0"/>
    <numFmt numFmtId="167" formatCode="0_);\(0\)"/>
    <numFmt numFmtId="168" formatCode="_(* #,##0_);_(* \(#,##0\);_(* &quot;-&quot;??_);_(@_)"/>
    <numFmt numFmtId="169" formatCode="#,##0_ ;[Red]\-#,##0\ "/>
    <numFmt numFmtId="170" formatCode="_-* #,##0_-;\-* #,##0_-;_-* &quot;-&quot;??_-;_-@_-"/>
    <numFmt numFmtId="171" formatCode="_-* #,##0.0000_-;\-* #,##0.0000_-;_-* &quot;-&quot;??_-;_-@_-"/>
    <numFmt numFmtId="172" formatCode="0.0000"/>
    <numFmt numFmtId="173" formatCode="0.000%"/>
    <numFmt numFmtId="174" formatCode="_-[$$-4809]* #,##0.00_-;\-[$$-4809]* #,##0.00_-;_-[$$-4809]* &quot;-&quot;??_-;_-@_-"/>
    <numFmt numFmtId="175" formatCode="_-[$$-4809]* #,##0.000_-;\-[$$-4809]* #,##0.000_-;_-[$$-4809]* &quot;-&quot;??_-;_-@_-"/>
    <numFmt numFmtId="176" formatCode="0.0"/>
    <numFmt numFmtId="177" formatCode="0.000"/>
    <numFmt numFmtId="178" formatCode="0.000000"/>
    <numFmt numFmtId="179" formatCode="_-* #,##0.0_-;\-* #,##0.0_-;_-* &quot;-&quot;??_-;_-@_-"/>
    <numFmt numFmtId="180" formatCode="0.0000%"/>
    <numFmt numFmtId="181" formatCode="0.000000000000000%"/>
    <numFmt numFmtId="182" formatCode="0.00000%"/>
  </numFmts>
  <fonts count="49">
    <font>
      <sz val="11"/>
      <color theme="1"/>
      <name val="Calibri"/>
      <family val="2"/>
      <scheme val="minor"/>
    </font>
    <font>
      <sz val="11"/>
      <color theme="1"/>
      <name val="Calibri"/>
      <family val="2"/>
      <scheme val="minor"/>
    </font>
    <font>
      <b/>
      <sz val="10"/>
      <name val="Arial"/>
      <family val="2"/>
    </font>
    <font>
      <b/>
      <sz val="14"/>
      <name val="Arial"/>
      <family val="2"/>
    </font>
    <font>
      <sz val="10"/>
      <name val="Arial"/>
      <family val="2"/>
    </font>
    <font>
      <b/>
      <sz val="11"/>
      <color theme="1"/>
      <name val="Calibri"/>
      <family val="2"/>
      <scheme val="minor"/>
    </font>
    <font>
      <sz val="11"/>
      <color theme="0"/>
      <name val="Calibri"/>
      <family val="2"/>
      <scheme val="minor"/>
    </font>
    <font>
      <b/>
      <sz val="11"/>
      <color theme="0"/>
      <name val="Calibri"/>
      <family val="2"/>
      <scheme val="minor"/>
    </font>
    <font>
      <b/>
      <sz val="12"/>
      <color theme="0"/>
      <name val="Calibri"/>
      <family val="2"/>
      <scheme val="minor"/>
    </font>
    <font>
      <b/>
      <i/>
      <sz val="11"/>
      <color theme="1"/>
      <name val="Calibri"/>
      <family val="2"/>
      <scheme val="minor"/>
    </font>
    <font>
      <sz val="11"/>
      <name val="Calibri"/>
      <family val="2"/>
      <scheme val="minor"/>
    </font>
    <font>
      <b/>
      <sz val="11"/>
      <name val="Calibri"/>
      <family val="2"/>
      <scheme val="minor"/>
    </font>
    <font>
      <b/>
      <sz val="13"/>
      <color theme="0"/>
      <name val="Calibri"/>
      <family val="2"/>
      <scheme val="minor"/>
    </font>
    <font>
      <sz val="11"/>
      <color rgb="FFFF0000"/>
      <name val="Calibri"/>
      <family val="2"/>
      <scheme val="minor"/>
    </font>
    <font>
      <b/>
      <sz val="11"/>
      <color theme="9"/>
      <name val="Calibri"/>
      <family val="2"/>
      <scheme val="minor"/>
    </font>
    <font>
      <sz val="11"/>
      <color theme="4"/>
      <name val="Calibri"/>
      <family val="2"/>
      <scheme val="minor"/>
    </font>
    <font>
      <i/>
      <sz val="11"/>
      <color theme="1"/>
      <name val="Calibri"/>
      <family val="2"/>
      <scheme val="minor"/>
    </font>
    <font>
      <sz val="11"/>
      <color theme="2" tint="-0.499984740745262"/>
      <name val="Calibri"/>
      <family val="2"/>
      <scheme val="minor"/>
    </font>
    <font>
      <b/>
      <i/>
      <sz val="12"/>
      <color rgb="FFFFFFFF"/>
      <name val="Calibri"/>
      <family val="2"/>
    </font>
    <font>
      <sz val="10"/>
      <color indexed="9"/>
      <name val="Arial"/>
      <family val="2"/>
    </font>
    <font>
      <sz val="10"/>
      <color indexed="8"/>
      <name val="Arial"/>
      <family val="2"/>
    </font>
    <font>
      <i/>
      <sz val="10"/>
      <color rgb="FF595959"/>
      <name val="Arial"/>
      <family val="2"/>
    </font>
    <font>
      <b/>
      <sz val="10"/>
      <color rgb="FF595959"/>
      <name val="Arial"/>
      <family val="2"/>
    </font>
    <font>
      <b/>
      <sz val="10"/>
      <color indexed="9"/>
      <name val="Arial"/>
      <family val="2"/>
    </font>
    <font>
      <sz val="10"/>
      <color rgb="FF595959"/>
      <name val="Arial"/>
      <family val="2"/>
    </font>
    <font>
      <b/>
      <sz val="10"/>
      <color indexed="8"/>
      <name val="Arial"/>
      <family val="2"/>
    </font>
    <font>
      <b/>
      <sz val="13"/>
      <color theme="1"/>
      <name val="Calibri"/>
      <family val="2"/>
      <scheme val="minor"/>
    </font>
    <font>
      <b/>
      <sz val="11"/>
      <color rgb="FFFF0000"/>
      <name val="Calibri"/>
      <family val="2"/>
      <scheme val="minor"/>
    </font>
    <font>
      <sz val="11"/>
      <color rgb="FF7030A0"/>
      <name val="Calibri"/>
      <family val="2"/>
      <scheme val="minor"/>
    </font>
    <font>
      <sz val="12"/>
      <color theme="1"/>
      <name val="Calibri"/>
      <family val="2"/>
      <scheme val="minor"/>
    </font>
    <font>
      <sz val="9"/>
      <color indexed="81"/>
      <name val="Tahoma"/>
      <family val="2"/>
    </font>
    <font>
      <sz val="11"/>
      <color rgb="FF000000"/>
      <name val="Calibri"/>
      <family val="2"/>
      <scheme val="minor"/>
    </font>
    <font>
      <b/>
      <sz val="11"/>
      <color rgb="FF000000"/>
      <name val="Calibri"/>
      <family val="2"/>
      <scheme val="minor"/>
    </font>
    <font>
      <sz val="9"/>
      <color theme="1"/>
      <name val="TimesNewRomanPSMT"/>
    </font>
    <font>
      <sz val="11"/>
      <color theme="9" tint="-0.499984740745262"/>
      <name val="Calibri"/>
      <family val="2"/>
      <scheme val="minor"/>
    </font>
    <font>
      <sz val="12"/>
      <name val="Calibri"/>
      <family val="2"/>
    </font>
    <font>
      <b/>
      <sz val="12"/>
      <name val="Calibri"/>
      <family val="2"/>
    </font>
    <font>
      <sz val="12"/>
      <color rgb="FFAEAAAA"/>
      <name val="Calibri"/>
      <family val="2"/>
    </font>
    <font>
      <b/>
      <sz val="9"/>
      <color theme="1"/>
      <name val="Calibri"/>
      <family val="2"/>
      <scheme val="minor"/>
    </font>
    <font>
      <sz val="9"/>
      <color theme="1"/>
      <name val="Calibri"/>
      <family val="2"/>
      <scheme val="minor"/>
    </font>
    <font>
      <b/>
      <sz val="9"/>
      <color indexed="81"/>
      <name val="Tahoma"/>
      <family val="2"/>
    </font>
    <font>
      <b/>
      <sz val="10"/>
      <color theme="1"/>
      <name val="Arial"/>
      <family val="2"/>
    </font>
    <font>
      <b/>
      <sz val="10"/>
      <color indexed="8"/>
      <name val="Calibri"/>
      <family val="2"/>
      <scheme val="minor"/>
    </font>
    <font>
      <sz val="10"/>
      <color indexed="8"/>
      <name val="Calibri"/>
      <family val="2"/>
      <scheme val="minor"/>
    </font>
    <font>
      <sz val="10"/>
      <color rgb="FF595959"/>
      <name val="Calibri"/>
      <family val="2"/>
      <scheme val="minor"/>
    </font>
    <font>
      <b/>
      <sz val="10"/>
      <color rgb="FF595959"/>
      <name val="Calibri"/>
      <family val="2"/>
      <scheme val="minor"/>
    </font>
    <font>
      <sz val="14"/>
      <color theme="1"/>
      <name val="Calibri"/>
      <family val="2"/>
      <scheme val="minor"/>
    </font>
    <font>
      <b/>
      <sz val="14"/>
      <color theme="1"/>
      <name val="Calibri"/>
      <family val="2"/>
      <scheme val="minor"/>
    </font>
    <font>
      <b/>
      <sz val="36"/>
      <color theme="1"/>
      <name val="Calibri"/>
      <family val="2"/>
      <scheme val="minor"/>
    </font>
  </fonts>
  <fills count="28">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rgb="FF00206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2"/>
        <bgColor indexed="64"/>
      </patternFill>
    </fill>
    <fill>
      <patternFill patternType="darkVertical">
        <fgColor rgb="FF5D87A1"/>
        <bgColor rgb="FF5D87A1"/>
      </patternFill>
    </fill>
    <fill>
      <patternFill patternType="solid">
        <fgColor indexed="9"/>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B4C6E7"/>
      </patternFill>
    </fill>
    <fill>
      <patternFill patternType="solid">
        <fgColor theme="1"/>
        <bgColor indexed="64"/>
      </patternFill>
    </fill>
    <fill>
      <patternFill patternType="solid">
        <fgColor theme="6" tint="0.39997558519241921"/>
        <bgColor indexed="64"/>
      </patternFill>
    </fill>
    <fill>
      <patternFill patternType="solid">
        <fgColor theme="6"/>
        <bgColor indexed="64"/>
      </patternFill>
    </fill>
    <fill>
      <patternFill patternType="darkVertical">
        <fgColor rgb="FF5D87A1"/>
        <bgColor theme="9" tint="-0.249977111117893"/>
      </patternFill>
    </fill>
    <fill>
      <patternFill patternType="darkVertical">
        <fgColor rgb="FF5D87A1"/>
        <bgColor theme="4"/>
      </patternFill>
    </fill>
    <fill>
      <patternFill patternType="darkVertical">
        <fgColor rgb="FF5D87A1"/>
        <bgColor theme="1"/>
      </patternFill>
    </fill>
    <fill>
      <patternFill patternType="solid">
        <fgColor theme="9"/>
        <bgColor indexed="64"/>
      </patternFill>
    </fill>
    <fill>
      <patternFill patternType="solid">
        <fgColor rgb="FF92D050"/>
        <bgColor indexed="64"/>
      </patternFill>
    </fill>
  </fills>
  <borders count="9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rgb="FF000000"/>
      </left>
      <right style="medium">
        <color rgb="FF000000"/>
      </right>
      <top/>
      <bottom/>
      <diagonal/>
    </border>
    <border>
      <left/>
      <right/>
      <top style="medium">
        <color indexed="64"/>
      </top>
      <bottom style="thin">
        <color indexed="64"/>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bottom style="thin">
        <color auto="1"/>
      </bottom>
      <diagonal/>
    </border>
    <border>
      <left style="medium">
        <color rgb="FF000000"/>
      </left>
      <right/>
      <top/>
      <bottom style="medium">
        <color indexed="64"/>
      </bottom>
      <diagonal/>
    </border>
    <border>
      <left/>
      <right style="medium">
        <color rgb="FF000000"/>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right/>
      <top/>
      <bottom style="double">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s>
  <cellStyleXfs count="7">
    <xf numFmtId="0" fontId="0" fillId="0" borderId="0"/>
    <xf numFmtId="164" fontId="1" fillId="0" borderId="0" applyFont="0" applyFill="0" applyBorder="0" applyAlignment="0" applyProtection="0"/>
    <xf numFmtId="9" fontId="1" fillId="0" borderId="0" applyFont="0" applyFill="0" applyBorder="0" applyAlignment="0" applyProtection="0"/>
    <xf numFmtId="0" fontId="19" fillId="8" borderId="0" applyNumberFormat="0" applyBorder="0" applyProtection="0">
      <alignment vertical="center"/>
    </xf>
    <xf numFmtId="0" fontId="20" fillId="0" borderId="0" applyNumberFormat="0" applyFont="0" applyFill="0" applyBorder="0" applyAlignment="0" applyProtection="0">
      <alignment vertical="center"/>
    </xf>
    <xf numFmtId="166" fontId="21" fillId="0" borderId="0" applyFill="0" applyBorder="0" applyProtection="0">
      <alignment horizontal="right" vertical="center"/>
    </xf>
    <xf numFmtId="0" fontId="20" fillId="0" borderId="0" applyNumberFormat="0" applyFont="0" applyFill="0" applyBorder="0" applyProtection="0">
      <alignment horizontal="center" vertical="center"/>
    </xf>
  </cellStyleXfs>
  <cellXfs count="985">
    <xf numFmtId="0" fontId="0" fillId="0" borderId="0" xfId="0"/>
    <xf numFmtId="0" fontId="0" fillId="0" borderId="0" xfId="0" applyAlignment="1">
      <alignment horizontal="center"/>
    </xf>
    <xf numFmtId="3" fontId="0" fillId="0" borderId="0" xfId="0" applyNumberFormat="1"/>
    <xf numFmtId="3" fontId="0" fillId="2" borderId="0" xfId="0" applyNumberFormat="1" applyFill="1"/>
    <xf numFmtId="165" fontId="0" fillId="0" borderId="0" xfId="2" applyNumberFormat="1" applyFont="1"/>
    <xf numFmtId="9" fontId="0" fillId="0" borderId="0" xfId="0" applyNumberFormat="1"/>
    <xf numFmtId="0" fontId="0" fillId="0" borderId="0" xfId="2" applyNumberFormat="1" applyFont="1"/>
    <xf numFmtId="3" fontId="0" fillId="0" borderId="4" xfId="0" applyNumberFormat="1" applyBorder="1"/>
    <xf numFmtId="0" fontId="0" fillId="0" borderId="5" xfId="0" applyBorder="1"/>
    <xf numFmtId="0" fontId="0" fillId="0" borderId="4" xfId="0" applyBorder="1"/>
    <xf numFmtId="165" fontId="0" fillId="0" borderId="4" xfId="2" applyNumberFormat="1" applyFont="1" applyBorder="1"/>
    <xf numFmtId="165" fontId="0" fillId="0" borderId="0" xfId="2" applyNumberFormat="1" applyFont="1" applyBorder="1"/>
    <xf numFmtId="165" fontId="0" fillId="0" borderId="5" xfId="2" applyNumberFormat="1" applyFont="1" applyBorder="1"/>
    <xf numFmtId="0" fontId="0" fillId="0" borderId="8" xfId="0" applyBorder="1"/>
    <xf numFmtId="0" fontId="0" fillId="0" borderId="4" xfId="2" applyNumberFormat="1" applyFont="1" applyBorder="1"/>
    <xf numFmtId="0" fontId="0" fillId="0" borderId="0" xfId="2" applyNumberFormat="1" applyFont="1" applyBorder="1"/>
    <xf numFmtId="0" fontId="0" fillId="0" borderId="5" xfId="2" applyNumberFormat="1" applyFont="1" applyBorder="1"/>
    <xf numFmtId="3" fontId="0" fillId="2" borderId="6" xfId="0" applyNumberFormat="1" applyFill="1" applyBorder="1"/>
    <xf numFmtId="3" fontId="0" fillId="2" borderId="7" xfId="0" applyNumberFormat="1" applyFill="1" applyBorder="1"/>
    <xf numFmtId="167" fontId="2" fillId="0" borderId="0" xfId="0" applyNumberFormat="1" applyFont="1" applyAlignment="1">
      <alignment horizontal="center"/>
    </xf>
    <xf numFmtId="0" fontId="5" fillId="0" borderId="0" xfId="0" applyFont="1"/>
    <xf numFmtId="0" fontId="5" fillId="3" borderId="0" xfId="0" applyFont="1" applyFill="1"/>
    <xf numFmtId="0" fontId="6" fillId="4" borderId="0" xfId="0" applyFont="1" applyFill="1" applyAlignment="1">
      <alignment horizontal="center"/>
    </xf>
    <xf numFmtId="0" fontId="7" fillId="4" borderId="0" xfId="0" applyFont="1" applyFill="1" applyAlignment="1">
      <alignment horizontal="center"/>
    </xf>
    <xf numFmtId="0" fontId="8" fillId="4" borderId="0" xfId="0" applyFont="1" applyFill="1" applyAlignment="1">
      <alignment horizontal="center"/>
    </xf>
    <xf numFmtId="0" fontId="8" fillId="5" borderId="0" xfId="0" applyFont="1" applyFill="1" applyAlignment="1">
      <alignment horizontal="center"/>
    </xf>
    <xf numFmtId="0" fontId="0" fillId="0" borderId="10" xfId="0" applyBorder="1"/>
    <xf numFmtId="3" fontId="5" fillId="0" borderId="0" xfId="0" applyNumberFormat="1" applyFont="1" applyAlignment="1">
      <alignment horizontal="center"/>
    </xf>
    <xf numFmtId="3" fontId="5" fillId="0" borderId="1" xfId="0" applyNumberFormat="1" applyFont="1" applyBorder="1" applyAlignment="1">
      <alignment horizontal="center"/>
    </xf>
    <xf numFmtId="3" fontId="5" fillId="0" borderId="2" xfId="0" applyNumberFormat="1" applyFont="1" applyBorder="1" applyAlignment="1">
      <alignment horizontal="center"/>
    </xf>
    <xf numFmtId="3" fontId="5" fillId="0" borderId="3" xfId="0" applyNumberFormat="1" applyFont="1" applyBorder="1" applyAlignment="1">
      <alignment horizontal="center"/>
    </xf>
    <xf numFmtId="3" fontId="0" fillId="0" borderId="0" xfId="0" applyNumberFormat="1" applyAlignment="1">
      <alignment horizontal="center"/>
    </xf>
    <xf numFmtId="3" fontId="0" fillId="0" borderId="4" xfId="0" applyNumberFormat="1" applyBorder="1" applyAlignment="1">
      <alignment horizontal="center"/>
    </xf>
    <xf numFmtId="3" fontId="0" fillId="0" borderId="5" xfId="0" applyNumberFormat="1" applyBorder="1" applyAlignment="1">
      <alignment horizontal="center"/>
    </xf>
    <xf numFmtId="3" fontId="0" fillId="0" borderId="10" xfId="0" applyNumberFormat="1" applyBorder="1" applyAlignment="1">
      <alignment horizontal="center"/>
    </xf>
    <xf numFmtId="3" fontId="0" fillId="0" borderId="12" xfId="0" applyNumberFormat="1" applyBorder="1" applyAlignment="1">
      <alignment horizontal="center"/>
    </xf>
    <xf numFmtId="169" fontId="5" fillId="0" borderId="0" xfId="0" applyNumberFormat="1" applyFont="1" applyAlignment="1">
      <alignment horizontal="center"/>
    </xf>
    <xf numFmtId="169" fontId="5" fillId="0" borderId="4" xfId="0" applyNumberFormat="1" applyFont="1" applyBorder="1" applyAlignment="1">
      <alignment horizontal="center"/>
    </xf>
    <xf numFmtId="169" fontId="5" fillId="0" borderId="5" xfId="0" applyNumberFormat="1" applyFont="1" applyBorder="1" applyAlignment="1">
      <alignment horizontal="center"/>
    </xf>
    <xf numFmtId="0" fontId="0" fillId="0" borderId="5" xfId="0" applyBorder="1" applyAlignment="1">
      <alignment horizontal="center"/>
    </xf>
    <xf numFmtId="169" fontId="5" fillId="0" borderId="10" xfId="0" applyNumberFormat="1" applyFont="1" applyBorder="1" applyAlignment="1">
      <alignment horizontal="center"/>
    </xf>
    <xf numFmtId="169" fontId="5" fillId="0" borderId="11" xfId="0" applyNumberFormat="1" applyFont="1" applyBorder="1" applyAlignment="1">
      <alignment horizontal="center"/>
    </xf>
    <xf numFmtId="169" fontId="5" fillId="0" borderId="12" xfId="0" applyNumberFormat="1" applyFont="1" applyBorder="1" applyAlignment="1">
      <alignment horizontal="center"/>
    </xf>
    <xf numFmtId="169" fontId="5" fillId="0" borderId="13" xfId="0" applyNumberFormat="1" applyFont="1" applyBorder="1" applyAlignment="1">
      <alignment horizontal="center"/>
    </xf>
    <xf numFmtId="169" fontId="5" fillId="0" borderId="14" xfId="0" applyNumberFormat="1" applyFont="1" applyBorder="1" applyAlignment="1">
      <alignment horizontal="center"/>
    </xf>
    <xf numFmtId="169" fontId="5" fillId="0" borderId="15" xfId="0" applyNumberFormat="1" applyFont="1" applyBorder="1" applyAlignment="1">
      <alignment horizontal="center"/>
    </xf>
    <xf numFmtId="0" fontId="0" fillId="0" borderId="3" xfId="0" applyBorder="1" applyAlignment="1">
      <alignment horizontal="center"/>
    </xf>
    <xf numFmtId="3" fontId="0" fillId="2" borderId="0" xfId="0" applyNumberFormat="1" applyFill="1" applyAlignment="1">
      <alignment horizontal="center"/>
    </xf>
    <xf numFmtId="169" fontId="0" fillId="0" borderId="0" xfId="0" applyNumberFormat="1" applyAlignment="1">
      <alignment horizontal="center"/>
    </xf>
    <xf numFmtId="0" fontId="2" fillId="0" borderId="0" xfId="0" applyFont="1" applyAlignment="1">
      <alignment horizontal="center"/>
    </xf>
    <xf numFmtId="168" fontId="1" fillId="0" borderId="0" xfId="1" applyNumberFormat="1" applyFont="1" applyAlignment="1">
      <alignment horizontal="center"/>
    </xf>
    <xf numFmtId="167" fontId="0" fillId="0" borderId="0" xfId="0" applyNumberFormat="1" applyAlignment="1">
      <alignment horizontal="center"/>
    </xf>
    <xf numFmtId="9" fontId="4" fillId="0" borderId="0" xfId="0" applyNumberFormat="1" applyFont="1" applyAlignment="1">
      <alignment horizontal="center"/>
    </xf>
    <xf numFmtId="0" fontId="4" fillId="0" borderId="0" xfId="0" applyFont="1" applyAlignment="1">
      <alignment horizontal="center"/>
    </xf>
    <xf numFmtId="37" fontId="0" fillId="0" borderId="3" xfId="0" applyNumberFormat="1" applyBorder="1" applyAlignment="1">
      <alignment horizontal="center"/>
    </xf>
    <xf numFmtId="37" fontId="0" fillId="0" borderId="5" xfId="0" applyNumberFormat="1" applyBorder="1" applyAlignment="1">
      <alignment horizontal="center"/>
    </xf>
    <xf numFmtId="0" fontId="0" fillId="0" borderId="0" xfId="0" applyAlignment="1">
      <alignment horizontal="left"/>
    </xf>
    <xf numFmtId="0" fontId="5" fillId="0" borderId="9" xfId="0" applyFont="1" applyBorder="1" applyAlignment="1">
      <alignment horizontal="left"/>
    </xf>
    <xf numFmtId="0" fontId="0" fillId="0" borderId="9" xfId="0" applyBorder="1" applyAlignment="1">
      <alignment horizontal="left"/>
    </xf>
    <xf numFmtId="0" fontId="0" fillId="0" borderId="17" xfId="0" applyBorder="1" applyAlignment="1">
      <alignment horizontal="left"/>
    </xf>
    <xf numFmtId="0" fontId="5" fillId="0" borderId="17" xfId="0" applyFont="1" applyBorder="1" applyAlignment="1">
      <alignment horizontal="left"/>
    </xf>
    <xf numFmtId="0" fontId="5" fillId="0" borderId="18" xfId="0" applyFont="1" applyBorder="1" applyAlignment="1">
      <alignment horizontal="left"/>
    </xf>
    <xf numFmtId="167" fontId="2" fillId="0" borderId="9" xfId="0" applyNumberFormat="1" applyFont="1" applyBorder="1" applyAlignment="1">
      <alignment horizontal="left"/>
    </xf>
    <xf numFmtId="167" fontId="0" fillId="0" borderId="9" xfId="0" applyNumberFormat="1" applyBorder="1" applyAlignment="1">
      <alignment horizontal="left"/>
    </xf>
    <xf numFmtId="0" fontId="3" fillId="0" borderId="9" xfId="0" applyFont="1" applyBorder="1" applyAlignment="1">
      <alignment horizontal="left"/>
    </xf>
    <xf numFmtId="0" fontId="4" fillId="0" borderId="9" xfId="0" applyFont="1" applyBorder="1" applyAlignment="1">
      <alignment horizontal="left"/>
    </xf>
    <xf numFmtId="0" fontId="0" fillId="0" borderId="2"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0" xfId="0" applyFont="1" applyAlignment="1">
      <alignment horizontal="left"/>
    </xf>
    <xf numFmtId="0" fontId="5" fillId="0" borderId="0" xfId="0" applyFont="1" applyAlignment="1">
      <alignment horizontal="center"/>
    </xf>
    <xf numFmtId="0" fontId="0" fillId="0" borderId="0" xfId="0" applyAlignment="1">
      <alignment horizontal="right"/>
    </xf>
    <xf numFmtId="0" fontId="0" fillId="0" borderId="1" xfId="0" applyBorder="1" applyAlignment="1">
      <alignment horizontal="left"/>
    </xf>
    <xf numFmtId="0" fontId="12" fillId="4" borderId="9" xfId="0" applyFont="1" applyFill="1" applyBorder="1" applyAlignment="1">
      <alignment horizontal="left"/>
    </xf>
    <xf numFmtId="0" fontId="0" fillId="0" borderId="4" xfId="0" applyBorder="1" applyAlignment="1">
      <alignment horizontal="left"/>
    </xf>
    <xf numFmtId="0" fontId="13" fillId="0" borderId="4" xfId="0" applyFont="1" applyBorder="1" applyAlignment="1">
      <alignment horizontal="left"/>
    </xf>
    <xf numFmtId="0" fontId="0" fillId="0" borderId="6" xfId="0" applyBorder="1" applyAlignment="1">
      <alignment horizontal="left"/>
    </xf>
    <xf numFmtId="0" fontId="0" fillId="0" borderId="0" xfId="0" applyAlignment="1">
      <alignment horizontal="left" indent="1"/>
    </xf>
    <xf numFmtId="0" fontId="0" fillId="4" borderId="0" xfId="0" applyFill="1"/>
    <xf numFmtId="164" fontId="0" fillId="0" borderId="0" xfId="1" applyFont="1"/>
    <xf numFmtId="0" fontId="5" fillId="0" borderId="0" xfId="0" applyFont="1" applyAlignment="1">
      <alignment horizontal="left" indent="1"/>
    </xf>
    <xf numFmtId="0" fontId="0" fillId="0" borderId="10" xfId="0" applyBorder="1" applyAlignment="1">
      <alignment horizontal="left" indent="1"/>
    </xf>
    <xf numFmtId="0" fontId="0" fillId="0" borderId="11" xfId="0" applyBorder="1"/>
    <xf numFmtId="0" fontId="0" fillId="0" borderId="12" xfId="0" applyBorder="1"/>
    <xf numFmtId="170" fontId="0" fillId="0" borderId="0" xfId="1" applyNumberFormat="1" applyFont="1"/>
    <xf numFmtId="170" fontId="0" fillId="0" borderId="10" xfId="1" applyNumberFormat="1" applyFont="1" applyBorder="1"/>
    <xf numFmtId="9" fontId="0" fillId="0" borderId="0" xfId="2" applyFont="1"/>
    <xf numFmtId="9" fontId="0" fillId="0" borderId="10" xfId="2" applyFont="1" applyBorder="1"/>
    <xf numFmtId="170" fontId="0" fillId="0" borderId="0" xfId="0" applyNumberFormat="1"/>
    <xf numFmtId="0" fontId="10" fillId="0" borderId="0" xfId="0" applyFont="1" applyAlignment="1">
      <alignment horizontal="left" indent="1"/>
    </xf>
    <xf numFmtId="0" fontId="10" fillId="0" borderId="0" xfId="0" applyFont="1"/>
    <xf numFmtId="0" fontId="11" fillId="0" borderId="0" xfId="0" applyFont="1"/>
    <xf numFmtId="9" fontId="10" fillId="0" borderId="0" xfId="2" applyFont="1" applyFill="1"/>
    <xf numFmtId="0" fontId="10" fillId="0" borderId="10" xfId="0" applyFont="1" applyBorder="1" applyAlignment="1">
      <alignment horizontal="left" indent="1"/>
    </xf>
    <xf numFmtId="9" fontId="10" fillId="0" borderId="10" xfId="2" applyFont="1" applyFill="1" applyBorder="1"/>
    <xf numFmtId="9" fontId="0" fillId="0" borderId="0" xfId="2" applyFont="1" applyFill="1"/>
    <xf numFmtId="9" fontId="0" fillId="0" borderId="10" xfId="2" applyFont="1" applyFill="1" applyBorder="1"/>
    <xf numFmtId="170" fontId="0" fillId="0" borderId="0" xfId="1" applyNumberFormat="1" applyFont="1" applyFill="1"/>
    <xf numFmtId="170" fontId="0" fillId="0" borderId="10" xfId="1" applyNumberFormat="1" applyFont="1" applyFill="1" applyBorder="1"/>
    <xf numFmtId="9" fontId="0" fillId="0" borderId="10" xfId="0" applyNumberFormat="1" applyBorder="1"/>
    <xf numFmtId="170" fontId="0" fillId="0" borderId="0" xfId="1" applyNumberFormat="1" applyFont="1" applyBorder="1"/>
    <xf numFmtId="0" fontId="12" fillId="4" borderId="0" xfId="0" applyFont="1" applyFill="1"/>
    <xf numFmtId="0" fontId="6" fillId="4" borderId="0" xfId="0" applyFont="1" applyFill="1"/>
    <xf numFmtId="0" fontId="6" fillId="0" borderId="0" xfId="0" applyFont="1"/>
    <xf numFmtId="170" fontId="0" fillId="0" borderId="9" xfId="1" applyNumberFormat="1" applyFont="1" applyBorder="1"/>
    <xf numFmtId="171" fontId="0" fillId="0" borderId="19" xfId="1" applyNumberFormat="1" applyFont="1" applyBorder="1"/>
    <xf numFmtId="170" fontId="5" fillId="3" borderId="20" xfId="1" applyNumberFormat="1" applyFont="1" applyFill="1" applyBorder="1"/>
    <xf numFmtId="3" fontId="0" fillId="0" borderId="9" xfId="0" applyNumberFormat="1" applyBorder="1"/>
    <xf numFmtId="3" fontId="5" fillId="3" borderId="20" xfId="0" applyNumberFormat="1" applyFont="1" applyFill="1" applyBorder="1"/>
    <xf numFmtId="170" fontId="5" fillId="0" borderId="0" xfId="0" applyNumberFormat="1" applyFont="1"/>
    <xf numFmtId="0" fontId="5" fillId="3" borderId="8" xfId="0" applyFont="1" applyFill="1" applyBorder="1"/>
    <xf numFmtId="9" fontId="0" fillId="0" borderId="16" xfId="0" applyNumberFormat="1" applyBorder="1"/>
    <xf numFmtId="10" fontId="0" fillId="0" borderId="16" xfId="0" applyNumberFormat="1" applyBorder="1"/>
    <xf numFmtId="173" fontId="5" fillId="3" borderId="16" xfId="0" applyNumberFormat="1" applyFont="1" applyFill="1" applyBorder="1"/>
    <xf numFmtId="9" fontId="0" fillId="3" borderId="0" xfId="2" applyFont="1" applyFill="1"/>
    <xf numFmtId="10" fontId="5" fillId="3" borderId="16" xfId="2" applyNumberFormat="1" applyFont="1" applyFill="1" applyBorder="1"/>
    <xf numFmtId="10" fontId="0" fillId="0" borderId="0" xfId="0" applyNumberFormat="1" applyAlignment="1">
      <alignment horizontal="center"/>
    </xf>
    <xf numFmtId="170" fontId="5" fillId="0" borderId="16" xfId="0" applyNumberFormat="1" applyFont="1" applyBorder="1"/>
    <xf numFmtId="173" fontId="5" fillId="0" borderId="16" xfId="0" applyNumberFormat="1" applyFont="1" applyBorder="1"/>
    <xf numFmtId="9" fontId="5" fillId="0" borderId="16" xfId="2" applyFont="1" applyFill="1" applyBorder="1"/>
    <xf numFmtId="0" fontId="5" fillId="0" borderId="1" xfId="0" applyFont="1" applyBorder="1"/>
    <xf numFmtId="0" fontId="5" fillId="0" borderId="4" xfId="0" applyFont="1" applyBorder="1"/>
    <xf numFmtId="0" fontId="5" fillId="0" borderId="5" xfId="0" applyFont="1" applyBorder="1"/>
    <xf numFmtId="0" fontId="9" fillId="0" borderId="21" xfId="0" applyFont="1" applyBorder="1" applyAlignment="1">
      <alignment horizontal="centerContinuous"/>
    </xf>
    <xf numFmtId="0" fontId="9" fillId="0" borderId="22" xfId="0" applyFont="1" applyBorder="1" applyAlignment="1">
      <alignment horizontal="centerContinuous"/>
    </xf>
    <xf numFmtId="0" fontId="5" fillId="0" borderId="6" xfId="0" applyFont="1" applyBorder="1"/>
    <xf numFmtId="0" fontId="5" fillId="0" borderId="8" xfId="0" applyFont="1" applyBorder="1"/>
    <xf numFmtId="0" fontId="9" fillId="0" borderId="21" xfId="0" applyFont="1" applyBorder="1" applyAlignment="1">
      <alignment horizontal="center"/>
    </xf>
    <xf numFmtId="0" fontId="5" fillId="0" borderId="23" xfId="0" applyFont="1" applyBorder="1"/>
    <xf numFmtId="0" fontId="9" fillId="0" borderId="22" xfId="0" applyFont="1" applyBorder="1" applyAlignment="1">
      <alignment horizontal="center"/>
    </xf>
    <xf numFmtId="0" fontId="5" fillId="0" borderId="24" xfId="0" applyFont="1" applyBorder="1"/>
    <xf numFmtId="3" fontId="10" fillId="0" borderId="0" xfId="0" applyNumberFormat="1" applyFont="1" applyAlignment="1">
      <alignment horizontal="center"/>
    </xf>
    <xf numFmtId="3" fontId="10" fillId="0" borderId="4" xfId="0" applyNumberFormat="1" applyFont="1" applyBorder="1" applyAlignment="1">
      <alignment horizontal="center"/>
    </xf>
    <xf numFmtId="3" fontId="10" fillId="2" borderId="0" xfId="0" applyNumberFormat="1" applyFont="1" applyFill="1" applyAlignment="1">
      <alignment horizontal="center"/>
    </xf>
    <xf numFmtId="3" fontId="10" fillId="2" borderId="4" xfId="0" applyNumberFormat="1" applyFont="1" applyFill="1" applyBorder="1" applyAlignment="1">
      <alignment horizontal="center"/>
    </xf>
    <xf numFmtId="169" fontId="10" fillId="0" borderId="0" xfId="0" applyNumberFormat="1" applyFont="1" applyAlignment="1">
      <alignment horizontal="center"/>
    </xf>
    <xf numFmtId="0" fontId="10" fillId="0" borderId="0" xfId="0" applyFont="1" applyAlignment="1">
      <alignment horizontal="center"/>
    </xf>
    <xf numFmtId="0" fontId="10" fillId="0" borderId="4" xfId="0" applyFont="1" applyBorder="1" applyAlignment="1">
      <alignment horizontal="center"/>
    </xf>
    <xf numFmtId="3" fontId="10" fillId="0" borderId="6" xfId="0" applyNumberFormat="1" applyFont="1" applyBorder="1" applyAlignment="1">
      <alignment horizontal="center"/>
    </xf>
    <xf numFmtId="3" fontId="10" fillId="0" borderId="7" xfId="0" applyNumberFormat="1" applyFont="1" applyBorder="1" applyAlignment="1">
      <alignment horizontal="center"/>
    </xf>
    <xf numFmtId="0" fontId="10" fillId="0" borderId="3" xfId="0" applyFont="1" applyBorder="1" applyAlignment="1">
      <alignment horizontal="center"/>
    </xf>
    <xf numFmtId="0" fontId="10" fillId="0" borderId="5" xfId="0" applyFont="1" applyBorder="1" applyAlignment="1">
      <alignment horizontal="center"/>
    </xf>
    <xf numFmtId="0" fontId="10" fillId="2" borderId="5" xfId="0" applyFont="1" applyFill="1" applyBorder="1" applyAlignment="1">
      <alignment horizontal="center"/>
    </xf>
    <xf numFmtId="169" fontId="10" fillId="0" borderId="5" xfId="0" applyNumberFormat="1" applyFont="1" applyBorder="1" applyAlignment="1">
      <alignment horizontal="center"/>
    </xf>
    <xf numFmtId="3" fontId="10" fillId="0" borderId="5" xfId="0" applyNumberFormat="1" applyFont="1" applyBorder="1" applyAlignment="1">
      <alignment horizontal="center"/>
    </xf>
    <xf numFmtId="3" fontId="10" fillId="0" borderId="8" xfId="0" applyNumberFormat="1" applyFont="1" applyBorder="1" applyAlignment="1">
      <alignment horizontal="center"/>
    </xf>
    <xf numFmtId="170" fontId="0" fillId="0" borderId="11" xfId="1" applyNumberFormat="1" applyFont="1" applyBorder="1"/>
    <xf numFmtId="170" fontId="5" fillId="0" borderId="0" xfId="1" applyNumberFormat="1" applyFont="1"/>
    <xf numFmtId="3" fontId="0" fillId="0" borderId="10" xfId="0" applyNumberFormat="1" applyBorder="1"/>
    <xf numFmtId="170" fontId="5" fillId="0" borderId="0" xfId="1" applyNumberFormat="1" applyFont="1" applyFill="1"/>
    <xf numFmtId="170" fontId="5" fillId="6" borderId="0" xfId="0" applyNumberFormat="1" applyFont="1" applyFill="1"/>
    <xf numFmtId="0" fontId="5" fillId="6" borderId="0" xfId="0" applyFont="1" applyFill="1" applyAlignment="1">
      <alignment horizontal="left" indent="1"/>
    </xf>
    <xf numFmtId="0" fontId="5" fillId="6" borderId="4" xfId="0" applyFont="1" applyFill="1" applyBorder="1"/>
    <xf numFmtId="0" fontId="5" fillId="6" borderId="0" xfId="0" applyFont="1" applyFill="1"/>
    <xf numFmtId="0" fontId="5" fillId="6" borderId="5" xfId="0" applyFont="1" applyFill="1" applyBorder="1"/>
    <xf numFmtId="9" fontId="0" fillId="3" borderId="10" xfId="2" applyFont="1" applyFill="1" applyBorder="1"/>
    <xf numFmtId="3" fontId="11" fillId="0" borderId="0" xfId="0" applyNumberFormat="1" applyFont="1" applyAlignment="1">
      <alignment horizontal="center"/>
    </xf>
    <xf numFmtId="3" fontId="10" fillId="0" borderId="10" xfId="0" applyNumberFormat="1" applyFont="1" applyBorder="1" applyAlignment="1">
      <alignment horizontal="center"/>
    </xf>
    <xf numFmtId="169" fontId="11" fillId="0" borderId="0" xfId="0" applyNumberFormat="1" applyFont="1" applyAlignment="1">
      <alignment horizontal="center"/>
    </xf>
    <xf numFmtId="9" fontId="10" fillId="0" borderId="0" xfId="0" applyNumberFormat="1" applyFont="1"/>
    <xf numFmtId="0" fontId="14" fillId="0" borderId="0" xfId="0" applyFont="1" applyAlignment="1">
      <alignment horizontal="left"/>
    </xf>
    <xf numFmtId="0" fontId="14" fillId="0" borderId="0" xfId="0" applyFont="1"/>
    <xf numFmtId="170" fontId="0" fillId="0" borderId="0" xfId="1" applyNumberFormat="1" applyFont="1" applyFill="1" applyBorder="1"/>
    <xf numFmtId="10" fontId="0" fillId="0" borderId="4" xfId="0" applyNumberFormat="1" applyBorder="1"/>
    <xf numFmtId="170" fontId="0" fillId="6" borderId="5" xfId="0" applyNumberFormat="1" applyFill="1" applyBorder="1"/>
    <xf numFmtId="170" fontId="0" fillId="6" borderId="12" xfId="0" applyNumberFormat="1" applyFill="1" applyBorder="1"/>
    <xf numFmtId="170" fontId="5" fillId="6" borderId="5" xfId="0" applyNumberFormat="1" applyFont="1" applyFill="1" applyBorder="1"/>
    <xf numFmtId="9" fontId="0" fillId="0" borderId="11" xfId="0" applyNumberFormat="1" applyBorder="1"/>
    <xf numFmtId="170" fontId="0" fillId="0" borderId="4" xfId="1" applyNumberFormat="1" applyFont="1" applyBorder="1"/>
    <xf numFmtId="170" fontId="5" fillId="0" borderId="4" xfId="1" applyNumberFormat="1" applyFont="1" applyBorder="1"/>
    <xf numFmtId="164" fontId="0" fillId="0" borderId="5" xfId="1" applyFont="1" applyBorder="1"/>
    <xf numFmtId="170" fontId="0" fillId="0" borderId="5" xfId="1" applyNumberFormat="1" applyFont="1" applyBorder="1"/>
    <xf numFmtId="9" fontId="0" fillId="6" borderId="0" xfId="2" applyFont="1" applyFill="1"/>
    <xf numFmtId="9" fontId="0" fillId="6" borderId="0" xfId="0" applyNumberFormat="1" applyFill="1"/>
    <xf numFmtId="9" fontId="0" fillId="6" borderId="10" xfId="2" applyFont="1" applyFill="1" applyBorder="1"/>
    <xf numFmtId="164" fontId="0" fillId="0" borderId="12" xfId="1" applyFont="1" applyBorder="1"/>
    <xf numFmtId="170" fontId="0" fillId="0" borderId="12" xfId="1" applyNumberFormat="1" applyFont="1" applyBorder="1"/>
    <xf numFmtId="164" fontId="5" fillId="0" borderId="5" xfId="1" applyFont="1" applyBorder="1"/>
    <xf numFmtId="170" fontId="5" fillId="0" borderId="5" xfId="1" applyNumberFormat="1" applyFont="1" applyBorder="1"/>
    <xf numFmtId="9" fontId="0" fillId="0" borderId="4" xfId="2" applyFont="1" applyBorder="1"/>
    <xf numFmtId="9" fontId="0" fillId="0" borderId="11" xfId="2" applyFont="1" applyBorder="1"/>
    <xf numFmtId="9" fontId="0" fillId="0" borderId="5" xfId="2" applyFont="1" applyBorder="1"/>
    <xf numFmtId="9" fontId="0" fillId="0" borderId="12" xfId="2" applyFont="1" applyBorder="1"/>
    <xf numFmtId="9" fontId="0" fillId="3" borderId="0" xfId="0" applyNumberFormat="1" applyFill="1"/>
    <xf numFmtId="9" fontId="0" fillId="3" borderId="10" xfId="0" applyNumberFormat="1" applyFill="1" applyBorder="1"/>
    <xf numFmtId="170" fontId="10" fillId="0" borderId="0" xfId="1" applyNumberFormat="1" applyFont="1"/>
    <xf numFmtId="170" fontId="10" fillId="0" borderId="10" xfId="1" applyNumberFormat="1" applyFont="1" applyBorder="1"/>
    <xf numFmtId="9" fontId="10" fillId="0" borderId="0" xfId="2" applyFont="1" applyFill="1" applyBorder="1"/>
    <xf numFmtId="9" fontId="0" fillId="0" borderId="0" xfId="2" applyFont="1" applyBorder="1"/>
    <xf numFmtId="0" fontId="11" fillId="0" borderId="0" xfId="0" applyFont="1" applyAlignment="1">
      <alignment horizontal="left"/>
    </xf>
    <xf numFmtId="0" fontId="0" fillId="6" borderId="0" xfId="0" applyFill="1"/>
    <xf numFmtId="9" fontId="0" fillId="0" borderId="4" xfId="2" applyFont="1" applyFill="1" applyBorder="1"/>
    <xf numFmtId="9" fontId="0" fillId="0" borderId="0" xfId="2" applyFont="1" applyFill="1" applyBorder="1"/>
    <xf numFmtId="9" fontId="0" fillId="0" borderId="5" xfId="2" applyFont="1" applyFill="1" applyBorder="1"/>
    <xf numFmtId="10" fontId="0" fillId="0" borderId="0" xfId="0" applyNumberFormat="1"/>
    <xf numFmtId="170" fontId="5" fillId="0" borderId="0" xfId="1" applyNumberFormat="1" applyFont="1" applyBorder="1"/>
    <xf numFmtId="3" fontId="0" fillId="0" borderId="6" xfId="0" applyNumberFormat="1" applyBorder="1"/>
    <xf numFmtId="3" fontId="0" fillId="0" borderId="7" xfId="0" applyNumberFormat="1" applyBorder="1"/>
    <xf numFmtId="3" fontId="10" fillId="0" borderId="11" xfId="0" applyNumberFormat="1" applyFont="1" applyBorder="1" applyAlignment="1">
      <alignment horizontal="center"/>
    </xf>
    <xf numFmtId="3" fontId="0" fillId="6" borderId="0" xfId="0" applyNumberFormat="1" applyFill="1"/>
    <xf numFmtId="3" fontId="0" fillId="6" borderId="4" xfId="0" applyNumberFormat="1" applyFill="1" applyBorder="1"/>
    <xf numFmtId="3" fontId="0" fillId="6" borderId="5" xfId="0" applyNumberFormat="1" applyFill="1" applyBorder="1"/>
    <xf numFmtId="2" fontId="0" fillId="0" borderId="0" xfId="0" applyNumberFormat="1"/>
    <xf numFmtId="165" fontId="0" fillId="0" borderId="0" xfId="0" applyNumberFormat="1"/>
    <xf numFmtId="0" fontId="5" fillId="0" borderId="0" xfId="0" applyFont="1" applyAlignment="1">
      <alignment horizontal="center" vertical="center"/>
    </xf>
    <xf numFmtId="165" fontId="0" fillId="0" borderId="0" xfId="0" applyNumberFormat="1" applyAlignment="1">
      <alignment horizontal="center" vertical="center"/>
    </xf>
    <xf numFmtId="0" fontId="0" fillId="0" borderId="34" xfId="0" applyBorder="1" applyAlignment="1">
      <alignment horizontal="center"/>
    </xf>
    <xf numFmtId="0" fontId="0" fillId="0" borderId="34" xfId="0" applyBorder="1" applyAlignment="1">
      <alignment horizontal="center" vertical="center"/>
    </xf>
    <xf numFmtId="165" fontId="0" fillId="0" borderId="34" xfId="2" applyNumberFormat="1" applyFont="1" applyBorder="1" applyAlignment="1">
      <alignment horizontal="center" vertical="center"/>
    </xf>
    <xf numFmtId="10" fontId="0" fillId="0" borderId="34" xfId="0" applyNumberFormat="1" applyBorder="1" applyAlignment="1">
      <alignment horizontal="center" vertical="center"/>
    </xf>
    <xf numFmtId="9" fontId="0" fillId="0" borderId="34" xfId="0" applyNumberFormat="1" applyBorder="1" applyAlignment="1">
      <alignment horizontal="center" vertical="center"/>
    </xf>
    <xf numFmtId="10" fontId="0" fillId="0" borderId="34" xfId="2" applyNumberFormat="1" applyFont="1" applyBorder="1" applyAlignment="1">
      <alignment horizontal="center" vertical="center"/>
    </xf>
    <xf numFmtId="3" fontId="0" fillId="0" borderId="34" xfId="0" applyNumberFormat="1" applyBorder="1" applyAlignment="1">
      <alignment horizontal="center" vertical="center"/>
    </xf>
    <xf numFmtId="2" fontId="0" fillId="0" borderId="34" xfId="0" applyNumberFormat="1" applyBorder="1" applyAlignment="1">
      <alignment horizontal="center" vertical="center"/>
    </xf>
    <xf numFmtId="0" fontId="0" fillId="7" borderId="0" xfId="0" applyFill="1"/>
    <xf numFmtId="0" fontId="15" fillId="0" borderId="32" xfId="0" applyFont="1" applyBorder="1"/>
    <xf numFmtId="0" fontId="15" fillId="0" borderId="10" xfId="0" applyFont="1" applyBorder="1"/>
    <xf numFmtId="174" fontId="0" fillId="0" borderId="0" xfId="0" applyNumberFormat="1"/>
    <xf numFmtId="174" fontId="16" fillId="0" borderId="0" xfId="0" applyNumberFormat="1" applyFont="1"/>
    <xf numFmtId="174" fontId="5" fillId="0" borderId="0" xfId="0" applyNumberFormat="1" applyFont="1"/>
    <xf numFmtId="0" fontId="16" fillId="0" borderId="0" xfId="0" applyFont="1" applyAlignment="1">
      <alignment horizontal="left" indent="1"/>
    </xf>
    <xf numFmtId="0" fontId="16" fillId="0" borderId="0" xfId="0" applyFont="1"/>
    <xf numFmtId="0" fontId="16" fillId="0" borderId="0" xfId="0" applyFont="1" applyAlignment="1">
      <alignment horizontal="left"/>
    </xf>
    <xf numFmtId="0" fontId="9" fillId="0" borderId="0" xfId="0" applyFont="1" applyAlignment="1">
      <alignment horizontal="left"/>
    </xf>
    <xf numFmtId="9" fontId="0" fillId="0" borderId="32" xfId="2" applyFont="1" applyBorder="1"/>
    <xf numFmtId="164" fontId="5" fillId="0" borderId="0" xfId="0" applyNumberFormat="1" applyFont="1"/>
    <xf numFmtId="43" fontId="0" fillId="0" borderId="0" xfId="0" applyNumberFormat="1"/>
    <xf numFmtId="174" fontId="0" fillId="6" borderId="0" xfId="0" applyNumberFormat="1" applyFill="1"/>
    <xf numFmtId="43" fontId="0" fillId="6" borderId="0" xfId="0" applyNumberFormat="1" applyFill="1"/>
    <xf numFmtId="9" fontId="16" fillId="0" borderId="32" xfId="2" applyFont="1" applyBorder="1"/>
    <xf numFmtId="174" fontId="5" fillId="0" borderId="0" xfId="0" applyNumberFormat="1" applyFont="1" applyAlignment="1">
      <alignment horizontal="left"/>
    </xf>
    <xf numFmtId="9" fontId="17" fillId="0" borderId="10" xfId="2" applyFont="1" applyBorder="1"/>
    <xf numFmtId="164" fontId="5" fillId="0" borderId="0" xfId="1" applyFont="1"/>
    <xf numFmtId="0" fontId="18" fillId="4" borderId="9" xfId="0" applyFont="1" applyFill="1" applyBorder="1" applyAlignment="1">
      <alignment horizontal="left"/>
    </xf>
    <xf numFmtId="0" fontId="22" fillId="9" borderId="0" xfId="0" applyFont="1" applyFill="1" applyAlignment="1">
      <alignment vertical="center"/>
    </xf>
    <xf numFmtId="0" fontId="23" fillId="9" borderId="0" xfId="3" applyFont="1" applyFill="1">
      <alignment vertical="center"/>
    </xf>
    <xf numFmtId="0" fontId="24" fillId="0" borderId="0" xfId="0" applyFont="1" applyAlignment="1">
      <alignment vertical="center"/>
    </xf>
    <xf numFmtId="0" fontId="23" fillId="8" borderId="0" xfId="3" applyFont="1">
      <alignment vertical="center"/>
    </xf>
    <xf numFmtId="0" fontId="20" fillId="0" borderId="0" xfId="4" applyFont="1" applyAlignment="1">
      <alignment vertical="center"/>
    </xf>
    <xf numFmtId="166" fontId="24" fillId="0" borderId="0" xfId="5" applyFont="1">
      <alignment horizontal="right" vertical="center"/>
    </xf>
    <xf numFmtId="166" fontId="21" fillId="0" borderId="0" xfId="5">
      <alignment horizontal="right" vertical="center"/>
    </xf>
    <xf numFmtId="0" fontId="22" fillId="0" borderId="0" xfId="0" applyFont="1" applyAlignment="1">
      <alignment vertical="center"/>
    </xf>
    <xf numFmtId="0" fontId="5" fillId="0" borderId="19" xfId="0" applyFont="1" applyBorder="1"/>
    <xf numFmtId="0" fontId="5" fillId="0" borderId="9" xfId="0" applyFont="1" applyBorder="1"/>
    <xf numFmtId="0" fontId="5" fillId="0" borderId="20" xfId="0" applyFont="1" applyBorder="1"/>
    <xf numFmtId="0" fontId="26" fillId="0" borderId="0" xfId="0" applyFont="1"/>
    <xf numFmtId="0" fontId="28" fillId="0" borderId="0" xfId="0" applyFont="1"/>
    <xf numFmtId="170" fontId="10" fillId="10" borderId="10" xfId="1" applyNumberFormat="1" applyFont="1" applyFill="1" applyBorder="1"/>
    <xf numFmtId="0" fontId="0" fillId="0" borderId="2" xfId="0" applyBorder="1"/>
    <xf numFmtId="0" fontId="0" fillId="0" borderId="3" xfId="0" applyBorder="1"/>
    <xf numFmtId="0" fontId="0" fillId="0" borderId="4" xfId="0" applyBorder="1" applyAlignment="1">
      <alignment horizontal="left" indent="1"/>
    </xf>
    <xf numFmtId="0" fontId="5" fillId="0" borderId="7" xfId="0" applyFont="1" applyBorder="1"/>
    <xf numFmtId="0" fontId="0" fillId="0" borderId="1" xfId="0" applyBorder="1"/>
    <xf numFmtId="3" fontId="5" fillId="0" borderId="0" xfId="0" applyNumberFormat="1" applyFont="1"/>
    <xf numFmtId="176" fontId="0" fillId="0" borderId="0" xfId="0" applyNumberFormat="1"/>
    <xf numFmtId="0" fontId="0" fillId="7" borderId="34" xfId="0" applyFill="1" applyBorder="1" applyAlignment="1">
      <alignment wrapText="1"/>
    </xf>
    <xf numFmtId="0" fontId="0" fillId="0" borderId="34" xfId="0" applyBorder="1"/>
    <xf numFmtId="1" fontId="0" fillId="0" borderId="0" xfId="0" applyNumberFormat="1"/>
    <xf numFmtId="1" fontId="0" fillId="0" borderId="5" xfId="0" applyNumberFormat="1" applyBorder="1"/>
    <xf numFmtId="0" fontId="27" fillId="0" borderId="0" xfId="0" applyFont="1"/>
    <xf numFmtId="168" fontId="1" fillId="0" borderId="0" xfId="1" applyNumberFormat="1" applyFont="1" applyFill="1" applyBorder="1" applyAlignment="1">
      <alignment horizontal="left"/>
    </xf>
    <xf numFmtId="2" fontId="0" fillId="0" borderId="0" xfId="2" applyNumberFormat="1" applyFont="1"/>
    <xf numFmtId="164" fontId="0" fillId="0" borderId="0" xfId="2" applyNumberFormat="1" applyFont="1"/>
    <xf numFmtId="9" fontId="17" fillId="0" borderId="0" xfId="2" applyFont="1" applyBorder="1"/>
    <xf numFmtId="1" fontId="0" fillId="0" borderId="31" xfId="0" applyNumberFormat="1" applyBorder="1"/>
    <xf numFmtId="1" fontId="0" fillId="0" borderId="32" xfId="0" applyNumberFormat="1" applyBorder="1"/>
    <xf numFmtId="1" fontId="0" fillId="0" borderId="27" xfId="0" applyNumberFormat="1" applyBorder="1"/>
    <xf numFmtId="9" fontId="17" fillId="0" borderId="27" xfId="2" applyFont="1" applyBorder="1"/>
    <xf numFmtId="9" fontId="17" fillId="0" borderId="27" xfId="0" applyNumberFormat="1" applyFont="1" applyBorder="1"/>
    <xf numFmtId="9" fontId="17" fillId="0" borderId="29" xfId="2" applyFont="1" applyBorder="1"/>
    <xf numFmtId="2" fontId="5" fillId="0" borderId="0" xfId="0" applyNumberFormat="1" applyFont="1"/>
    <xf numFmtId="164" fontId="5" fillId="0" borderId="0" xfId="1" applyFont="1" applyBorder="1"/>
    <xf numFmtId="10" fontId="5" fillId="0" borderId="0" xfId="2" applyNumberFormat="1" applyFont="1" applyBorder="1"/>
    <xf numFmtId="165" fontId="10" fillId="0" borderId="0" xfId="2" applyNumberFormat="1" applyFont="1" applyFill="1"/>
    <xf numFmtId="0" fontId="12" fillId="4" borderId="0" xfId="0" applyFont="1" applyFill="1" applyAlignment="1">
      <alignment horizontal="left"/>
    </xf>
    <xf numFmtId="3" fontId="0" fillId="0" borderId="5" xfId="0" applyNumberFormat="1" applyBorder="1"/>
    <xf numFmtId="166" fontId="0" fillId="0" borderId="0" xfId="0" applyNumberFormat="1"/>
    <xf numFmtId="3" fontId="10" fillId="0" borderId="1" xfId="0" applyNumberFormat="1" applyFont="1" applyBorder="1" applyAlignment="1">
      <alignment horizontal="center"/>
    </xf>
    <xf numFmtId="3" fontId="10" fillId="0" borderId="2" xfId="0" applyNumberFormat="1" applyFont="1" applyBorder="1" applyAlignment="1">
      <alignment horizontal="center"/>
    </xf>
    <xf numFmtId="169" fontId="10" fillId="0" borderId="4" xfId="0" applyNumberFormat="1" applyFont="1" applyBorder="1" applyAlignment="1">
      <alignment horizontal="center"/>
    </xf>
    <xf numFmtId="10" fontId="0" fillId="0" borderId="0" xfId="2" applyNumberFormat="1" applyFont="1"/>
    <xf numFmtId="3" fontId="0" fillId="0" borderId="37" xfId="0" applyNumberFormat="1" applyBorder="1"/>
    <xf numFmtId="165" fontId="0" fillId="0" borderId="38" xfId="2" applyNumberFormat="1" applyFont="1" applyBorder="1"/>
    <xf numFmtId="165" fontId="0" fillId="0" borderId="39" xfId="2" applyNumberFormat="1" applyFont="1" applyBorder="1"/>
    <xf numFmtId="3" fontId="0" fillId="0" borderId="40" xfId="0" applyNumberFormat="1" applyBorder="1"/>
    <xf numFmtId="165" fontId="0" fillId="0" borderId="41" xfId="2" applyNumberFormat="1" applyFont="1" applyBorder="1"/>
    <xf numFmtId="165" fontId="0" fillId="0" borderId="40" xfId="2" applyNumberFormat="1" applyFont="1" applyBorder="1"/>
    <xf numFmtId="165" fontId="5" fillId="0" borderId="40" xfId="2" applyNumberFormat="1" applyFont="1" applyFill="1" applyBorder="1"/>
    <xf numFmtId="0" fontId="0" fillId="0" borderId="40" xfId="0" applyBorder="1"/>
    <xf numFmtId="0" fontId="0" fillId="0" borderId="41" xfId="0" applyBorder="1"/>
    <xf numFmtId="0" fontId="0" fillId="0" borderId="42" xfId="0" applyBorder="1"/>
    <xf numFmtId="9" fontId="0" fillId="0" borderId="43" xfId="2" applyFont="1" applyBorder="1"/>
    <xf numFmtId="165" fontId="0" fillId="0" borderId="37" xfId="2" applyNumberFormat="1" applyFont="1" applyBorder="1"/>
    <xf numFmtId="0" fontId="0" fillId="0" borderId="43" xfId="0" applyBorder="1"/>
    <xf numFmtId="0" fontId="23" fillId="9" borderId="0" xfId="3" applyFont="1" applyFill="1" applyBorder="1">
      <alignment vertical="center"/>
    </xf>
    <xf numFmtId="0" fontId="0" fillId="13" borderId="0" xfId="0" applyFill="1"/>
    <xf numFmtId="9" fontId="0" fillId="0" borderId="32" xfId="0" applyNumberFormat="1" applyBorder="1"/>
    <xf numFmtId="10" fontId="0" fillId="0" borderId="32" xfId="0" applyNumberFormat="1" applyBorder="1"/>
    <xf numFmtId="0" fontId="15" fillId="0" borderId="31" xfId="0" applyFont="1" applyBorder="1"/>
    <xf numFmtId="0" fontId="15" fillId="0" borderId="27" xfId="0" applyFont="1" applyBorder="1"/>
    <xf numFmtId="0" fontId="15" fillId="0" borderId="0" xfId="0" applyFont="1"/>
    <xf numFmtId="0" fontId="15" fillId="0" borderId="29" xfId="0" applyFont="1" applyBorder="1"/>
    <xf numFmtId="1" fontId="0" fillId="0" borderId="29" xfId="0" applyNumberFormat="1" applyBorder="1"/>
    <xf numFmtId="1" fontId="0" fillId="0" borderId="10" xfId="0" applyNumberFormat="1" applyBorder="1"/>
    <xf numFmtId="10" fontId="17" fillId="0" borderId="27" xfId="2" applyNumberFormat="1" applyFont="1" applyBorder="1"/>
    <xf numFmtId="10" fontId="17" fillId="0" borderId="0" xfId="2" applyNumberFormat="1" applyFont="1" applyBorder="1"/>
    <xf numFmtId="10" fontId="17" fillId="0" borderId="29" xfId="2" applyNumberFormat="1" applyFont="1" applyBorder="1"/>
    <xf numFmtId="10" fontId="17" fillId="0" borderId="10" xfId="2" applyNumberFormat="1" applyFont="1" applyBorder="1"/>
    <xf numFmtId="9" fontId="0" fillId="0" borderId="31" xfId="0" applyNumberFormat="1" applyBorder="1"/>
    <xf numFmtId="9" fontId="0" fillId="0" borderId="31" xfId="2" applyFont="1" applyBorder="1"/>
    <xf numFmtId="9" fontId="17" fillId="0" borderId="0" xfId="0" applyNumberFormat="1" applyFont="1"/>
    <xf numFmtId="9" fontId="16" fillId="0" borderId="31" xfId="2" applyFont="1" applyBorder="1"/>
    <xf numFmtId="0" fontId="0" fillId="13" borderId="1" xfId="0" applyFill="1" applyBorder="1"/>
    <xf numFmtId="0" fontId="0" fillId="13" borderId="4" xfId="0" applyFill="1" applyBorder="1"/>
    <xf numFmtId="0" fontId="0" fillId="13" borderId="5" xfId="0" applyFill="1" applyBorder="1"/>
    <xf numFmtId="0" fontId="0" fillId="0" borderId="45" xfId="0" applyBorder="1"/>
    <xf numFmtId="1" fontId="0" fillId="0" borderId="46" xfId="0" applyNumberFormat="1" applyBorder="1"/>
    <xf numFmtId="1" fontId="0" fillId="0" borderId="12" xfId="0" applyNumberFormat="1" applyBorder="1"/>
    <xf numFmtId="0" fontId="16" fillId="0" borderId="4" xfId="0" applyFont="1" applyBorder="1"/>
    <xf numFmtId="9" fontId="17" fillId="0" borderId="5" xfId="2" applyFont="1" applyBorder="1"/>
    <xf numFmtId="9" fontId="17" fillId="0" borderId="12" xfId="2" applyFont="1" applyBorder="1"/>
    <xf numFmtId="9" fontId="0" fillId="0" borderId="46" xfId="2" applyFont="1" applyBorder="1"/>
    <xf numFmtId="9" fontId="17" fillId="0" borderId="5" xfId="0" applyNumberFormat="1" applyFont="1" applyBorder="1"/>
    <xf numFmtId="0" fontId="16" fillId="0" borderId="11" xfId="0" applyFont="1" applyBorder="1"/>
    <xf numFmtId="0" fontId="16" fillId="0" borderId="6" xfId="0" applyFont="1" applyBorder="1"/>
    <xf numFmtId="9" fontId="17" fillId="0" borderId="47" xfId="2" applyFont="1" applyBorder="1"/>
    <xf numFmtId="9" fontId="17" fillId="0" borderId="7" xfId="2" applyFont="1" applyBorder="1"/>
    <xf numFmtId="9" fontId="17" fillId="0" borderId="8" xfId="2" applyFont="1" applyBorder="1"/>
    <xf numFmtId="9" fontId="0" fillId="3" borderId="40" xfId="0" applyNumberFormat="1" applyFill="1" applyBorder="1"/>
    <xf numFmtId="9" fontId="0" fillId="3" borderId="40" xfId="2" applyFont="1" applyFill="1" applyBorder="1"/>
    <xf numFmtId="9" fontId="0" fillId="3" borderId="0" xfId="2" applyFont="1" applyFill="1" applyBorder="1"/>
    <xf numFmtId="9" fontId="0" fillId="6" borderId="0" xfId="2" applyFont="1" applyFill="1" applyBorder="1"/>
    <xf numFmtId="9" fontId="0" fillId="3" borderId="42" xfId="2" applyFont="1" applyFill="1" applyBorder="1"/>
    <xf numFmtId="9" fontId="0" fillId="6" borderId="43" xfId="2" applyFont="1" applyFill="1" applyBorder="1"/>
    <xf numFmtId="4" fontId="0" fillId="0" borderId="0" xfId="0" applyNumberFormat="1"/>
    <xf numFmtId="0" fontId="20" fillId="0" borderId="4" xfId="4" applyBorder="1">
      <alignment vertical="center"/>
    </xf>
    <xf numFmtId="0" fontId="20" fillId="0" borderId="0" xfId="4" applyBorder="1" applyAlignment="1">
      <alignment horizontal="left" vertical="center" indent="2"/>
    </xf>
    <xf numFmtId="0" fontId="20" fillId="0" borderId="0" xfId="4" applyBorder="1">
      <alignment vertical="center"/>
    </xf>
    <xf numFmtId="0" fontId="20" fillId="0" borderId="0" xfId="6" applyBorder="1">
      <alignment horizontal="center" vertical="center"/>
    </xf>
    <xf numFmtId="166" fontId="24" fillId="0" borderId="0" xfId="5" applyFont="1" applyBorder="1">
      <alignment horizontal="right" vertical="center"/>
    </xf>
    <xf numFmtId="166" fontId="21" fillId="0" borderId="0" xfId="5" applyBorder="1">
      <alignment horizontal="right" vertical="center"/>
    </xf>
    <xf numFmtId="166" fontId="21" fillId="0" borderId="5" xfId="5" applyBorder="1">
      <alignment horizontal="right" vertical="center"/>
    </xf>
    <xf numFmtId="0" fontId="20" fillId="0" borderId="6" xfId="4" applyBorder="1">
      <alignment vertical="center"/>
    </xf>
    <xf numFmtId="0" fontId="20" fillId="0" borderId="7" xfId="4" applyBorder="1" applyAlignment="1">
      <alignment horizontal="left" vertical="center" indent="2"/>
    </xf>
    <xf numFmtId="0" fontId="20" fillId="0" borderId="7" xfId="4" applyBorder="1">
      <alignment vertical="center"/>
    </xf>
    <xf numFmtId="0" fontId="20" fillId="0" borderId="7" xfId="6" applyBorder="1">
      <alignment horizontal="center" vertical="center"/>
    </xf>
    <xf numFmtId="166" fontId="24" fillId="0" borderId="7" xfId="5" applyFont="1" applyBorder="1">
      <alignment horizontal="right" vertical="center"/>
    </xf>
    <xf numFmtId="166" fontId="21" fillId="0" borderId="7" xfId="5" applyBorder="1">
      <alignment horizontal="right" vertical="center"/>
    </xf>
    <xf numFmtId="166" fontId="21" fillId="0" borderId="8" xfId="5" applyBorder="1">
      <alignment horizontal="right" vertical="center"/>
    </xf>
    <xf numFmtId="0" fontId="20" fillId="0" borderId="32" xfId="4" applyBorder="1">
      <alignment vertical="center"/>
    </xf>
    <xf numFmtId="0" fontId="20" fillId="0" borderId="32" xfId="6" applyBorder="1">
      <alignment horizontal="center" vertical="center"/>
    </xf>
    <xf numFmtId="166" fontId="24" fillId="0" borderId="32" xfId="5" applyFont="1" applyBorder="1">
      <alignment horizontal="right" vertical="center"/>
    </xf>
    <xf numFmtId="166" fontId="21" fillId="0" borderId="32" xfId="5" applyBorder="1">
      <alignment horizontal="right" vertical="center"/>
    </xf>
    <xf numFmtId="0" fontId="20" fillId="0" borderId="10" xfId="4" applyBorder="1">
      <alignment vertical="center"/>
    </xf>
    <xf numFmtId="0" fontId="20" fillId="0" borderId="10" xfId="6" applyBorder="1">
      <alignment horizontal="center" vertical="center"/>
    </xf>
    <xf numFmtId="166" fontId="24" fillId="0" borderId="10" xfId="5" applyFont="1" applyBorder="1">
      <alignment horizontal="right" vertical="center"/>
    </xf>
    <xf numFmtId="166" fontId="21" fillId="0" borderId="10" xfId="5" applyBorder="1">
      <alignment horizontal="right" vertical="center"/>
    </xf>
    <xf numFmtId="0" fontId="20" fillId="0" borderId="32" xfId="4" applyBorder="1" applyAlignment="1">
      <alignment horizontal="left" vertical="center" indent="1"/>
    </xf>
    <xf numFmtId="0" fontId="20" fillId="0" borderId="0" xfId="4" applyBorder="1" applyAlignment="1">
      <alignment horizontal="left" vertical="center" indent="1"/>
    </xf>
    <xf numFmtId="0" fontId="20" fillId="0" borderId="10" xfId="4" applyBorder="1" applyAlignment="1">
      <alignment horizontal="left" vertical="center" indent="1"/>
    </xf>
    <xf numFmtId="0" fontId="22" fillId="9" borderId="1" xfId="0" applyFont="1" applyFill="1" applyBorder="1" applyAlignment="1">
      <alignment vertical="center"/>
    </xf>
    <xf numFmtId="0" fontId="24" fillId="0" borderId="2" xfId="0" applyFont="1" applyBorder="1" applyAlignment="1">
      <alignment vertical="center"/>
    </xf>
    <xf numFmtId="0" fontId="24" fillId="0" borderId="3" xfId="0" applyFont="1" applyBorder="1" applyAlignment="1">
      <alignment vertical="center"/>
    </xf>
    <xf numFmtId="0" fontId="23" fillId="8" borderId="4" xfId="3" applyFont="1" applyBorder="1">
      <alignment vertical="center"/>
    </xf>
    <xf numFmtId="0" fontId="23" fillId="8" borderId="0" xfId="3" applyFont="1" applyBorder="1">
      <alignment vertical="center"/>
    </xf>
    <xf numFmtId="0" fontId="23" fillId="8" borderId="5" xfId="3" applyFont="1" applyBorder="1">
      <alignment vertical="center"/>
    </xf>
    <xf numFmtId="0" fontId="20" fillId="0" borderId="45" xfId="4" applyBorder="1">
      <alignment vertical="center"/>
    </xf>
    <xf numFmtId="166" fontId="21" fillId="0" borderId="46" xfId="5" applyBorder="1">
      <alignment horizontal="right" vertical="center"/>
    </xf>
    <xf numFmtId="0" fontId="20" fillId="0" borderId="11" xfId="4" applyBorder="1">
      <alignment vertical="center"/>
    </xf>
    <xf numFmtId="166" fontId="21" fillId="0" borderId="12" xfId="5" applyBorder="1">
      <alignment horizontal="right" vertical="center"/>
    </xf>
    <xf numFmtId="0" fontId="5" fillId="15" borderId="2" xfId="0" applyFont="1" applyFill="1" applyBorder="1" applyAlignment="1">
      <alignment horizontal="center"/>
    </xf>
    <xf numFmtId="10" fontId="0" fillId="13" borderId="2" xfId="2" applyNumberFormat="1" applyFont="1" applyFill="1" applyBorder="1"/>
    <xf numFmtId="0" fontId="0" fillId="13" borderId="3" xfId="0" applyFill="1" applyBorder="1"/>
    <xf numFmtId="0" fontId="0" fillId="13" borderId="7" xfId="0" applyFill="1" applyBorder="1"/>
    <xf numFmtId="10" fontId="0" fillId="13" borderId="7" xfId="2" applyNumberFormat="1" applyFont="1" applyFill="1" applyBorder="1"/>
    <xf numFmtId="0" fontId="0" fillId="13" borderId="8" xfId="0" applyFill="1" applyBorder="1"/>
    <xf numFmtId="1" fontId="0" fillId="13" borderId="0" xfId="0" applyNumberFormat="1" applyFill="1"/>
    <xf numFmtId="1" fontId="0" fillId="13" borderId="5" xfId="0" applyNumberFormat="1" applyFill="1" applyBorder="1"/>
    <xf numFmtId="0" fontId="5" fillId="13" borderId="1" xfId="0" applyFont="1" applyFill="1" applyBorder="1"/>
    <xf numFmtId="0" fontId="5" fillId="13" borderId="2" xfId="0" applyFont="1" applyFill="1" applyBorder="1"/>
    <xf numFmtId="9" fontId="0" fillId="0" borderId="5" xfId="0" applyNumberFormat="1" applyBorder="1"/>
    <xf numFmtId="9" fontId="0" fillId="0" borderId="12" xfId="0" applyNumberFormat="1" applyBorder="1"/>
    <xf numFmtId="10" fontId="0" fillId="13" borderId="0" xfId="2" applyNumberFormat="1" applyFont="1" applyFill="1" applyBorder="1"/>
    <xf numFmtId="0" fontId="5" fillId="13" borderId="19" xfId="0" applyFont="1" applyFill="1" applyBorder="1"/>
    <xf numFmtId="0" fontId="5" fillId="13" borderId="9" xfId="0" applyFont="1" applyFill="1" applyBorder="1"/>
    <xf numFmtId="0" fontId="5" fillId="13" borderId="20" xfId="0" applyFont="1" applyFill="1" applyBorder="1"/>
    <xf numFmtId="0" fontId="5" fillId="14" borderId="1" xfId="0" applyFont="1" applyFill="1" applyBorder="1" applyAlignment="1">
      <alignment horizontal="center"/>
    </xf>
    <xf numFmtId="1" fontId="0" fillId="13" borderId="2" xfId="0" applyNumberFormat="1" applyFill="1" applyBorder="1"/>
    <xf numFmtId="1" fontId="0" fillId="13" borderId="3" xfId="0" applyNumberFormat="1" applyFill="1" applyBorder="1"/>
    <xf numFmtId="0" fontId="0" fillId="7" borderId="4" xfId="0" applyFill="1" applyBorder="1"/>
    <xf numFmtId="9" fontId="0" fillId="7" borderId="0" xfId="2" applyFont="1" applyFill="1" applyBorder="1"/>
    <xf numFmtId="9" fontId="0" fillId="7" borderId="5" xfId="2" applyFont="1" applyFill="1" applyBorder="1"/>
    <xf numFmtId="0" fontId="5" fillId="11" borderId="23" xfId="0" applyFont="1" applyFill="1" applyBorder="1"/>
    <xf numFmtId="0" fontId="5" fillId="11" borderId="36" xfId="0" applyFont="1" applyFill="1" applyBorder="1"/>
    <xf numFmtId="0" fontId="5" fillId="11" borderId="24" xfId="0" applyFont="1" applyFill="1" applyBorder="1"/>
    <xf numFmtId="43" fontId="5" fillId="0" borderId="0" xfId="0" applyNumberFormat="1" applyFont="1"/>
    <xf numFmtId="9" fontId="17" fillId="0" borderId="0" xfId="2" applyFont="1" applyFill="1" applyBorder="1"/>
    <xf numFmtId="0" fontId="5" fillId="7" borderId="0" xfId="0" applyFont="1" applyFill="1"/>
    <xf numFmtId="0" fontId="5" fillId="12" borderId="0" xfId="0" applyFont="1" applyFill="1"/>
    <xf numFmtId="0" fontId="5" fillId="12" borderId="5" xfId="0" applyFont="1" applyFill="1" applyBorder="1"/>
    <xf numFmtId="164" fontId="0" fillId="0" borderId="0" xfId="0" applyNumberFormat="1"/>
    <xf numFmtId="10" fontId="0" fillId="0" borderId="34" xfId="0" applyNumberFormat="1" applyBorder="1"/>
    <xf numFmtId="10" fontId="5" fillId="0" borderId="34" xfId="0" applyNumberFormat="1" applyFont="1" applyBorder="1"/>
    <xf numFmtId="0" fontId="0" fillId="7" borderId="34" xfId="0" applyFill="1" applyBorder="1" applyAlignment="1">
      <alignment horizontal="center" vertical="center"/>
    </xf>
    <xf numFmtId="0" fontId="0" fillId="12" borderId="34" xfId="0" applyFill="1" applyBorder="1" applyAlignment="1">
      <alignment horizontal="center" vertical="center"/>
    </xf>
    <xf numFmtId="0" fontId="0" fillId="16" borderId="34" xfId="0" applyFill="1" applyBorder="1"/>
    <xf numFmtId="0" fontId="0" fillId="7" borderId="0" xfId="0" applyFill="1" applyAlignment="1">
      <alignment horizontal="center"/>
    </xf>
    <xf numFmtId="0" fontId="0" fillId="0" borderId="48" xfId="0" applyBorder="1"/>
    <xf numFmtId="10" fontId="31" fillId="0" borderId="40" xfId="0" applyNumberFormat="1" applyFont="1" applyBorder="1"/>
    <xf numFmtId="10" fontId="31" fillId="0" borderId="0" xfId="0" applyNumberFormat="1" applyFont="1"/>
    <xf numFmtId="10" fontId="31" fillId="0" borderId="41" xfId="0" applyNumberFormat="1" applyFont="1" applyBorder="1"/>
    <xf numFmtId="165" fontId="31" fillId="0" borderId="40" xfId="2" applyNumberFormat="1" applyFont="1" applyFill="1" applyBorder="1"/>
    <xf numFmtId="165" fontId="31" fillId="0" borderId="0" xfId="2" applyNumberFormat="1" applyFont="1" applyFill="1" applyBorder="1"/>
    <xf numFmtId="165" fontId="31" fillId="0" borderId="41" xfId="2" applyNumberFormat="1" applyFont="1" applyFill="1" applyBorder="1"/>
    <xf numFmtId="165" fontId="32" fillId="0" borderId="40" xfId="2" applyNumberFormat="1" applyFont="1" applyFill="1" applyBorder="1"/>
    <xf numFmtId="165" fontId="0" fillId="0" borderId="41" xfId="0" applyNumberFormat="1" applyBorder="1"/>
    <xf numFmtId="0" fontId="0" fillId="0" borderId="44" xfId="0" applyBorder="1"/>
    <xf numFmtId="9" fontId="0" fillId="0" borderId="7" xfId="2" applyFont="1" applyBorder="1"/>
    <xf numFmtId="0" fontId="33" fillId="0" borderId="0" xfId="0" applyFont="1"/>
    <xf numFmtId="0" fontId="34" fillId="13" borderId="2" xfId="0" applyFont="1" applyFill="1" applyBorder="1"/>
    <xf numFmtId="0" fontId="34" fillId="13" borderId="0" xfId="0" applyFont="1" applyFill="1"/>
    <xf numFmtId="10" fontId="5" fillId="0" borderId="0" xfId="0" applyNumberFormat="1" applyFont="1"/>
    <xf numFmtId="10" fontId="0" fillId="0" borderId="0" xfId="2" applyNumberFormat="1" applyFont="1" applyBorder="1" applyAlignment="1">
      <alignment horizontal="center" vertical="center"/>
    </xf>
    <xf numFmtId="9" fontId="0" fillId="0" borderId="34" xfId="2" applyFont="1" applyBorder="1"/>
    <xf numFmtId="10" fontId="0" fillId="0" borderId="0" xfId="2" applyNumberFormat="1" applyFont="1" applyAlignment="1">
      <alignment horizontal="center"/>
    </xf>
    <xf numFmtId="0" fontId="5" fillId="11" borderId="20" xfId="0" applyFont="1" applyFill="1" applyBorder="1"/>
    <xf numFmtId="0" fontId="7" fillId="17" borderId="2" xfId="0" applyFont="1" applyFill="1" applyBorder="1" applyAlignment="1">
      <alignment horizontal="center"/>
    </xf>
    <xf numFmtId="0" fontId="7" fillId="17" borderId="3" xfId="0" applyFont="1" applyFill="1" applyBorder="1" applyAlignment="1">
      <alignment horizontal="center"/>
    </xf>
    <xf numFmtId="177" fontId="0" fillId="0" borderId="34" xfId="0" applyNumberFormat="1" applyBorder="1"/>
    <xf numFmtId="177" fontId="0" fillId="13" borderId="0" xfId="0" applyNumberFormat="1" applyFill="1"/>
    <xf numFmtId="165" fontId="0" fillId="0" borderId="34" xfId="2" applyNumberFormat="1" applyFont="1" applyBorder="1"/>
    <xf numFmtId="165" fontId="0" fillId="13" borderId="34" xfId="2" applyNumberFormat="1" applyFont="1" applyFill="1" applyBorder="1"/>
    <xf numFmtId="0" fontId="0" fillId="0" borderId="49" xfId="0" applyBorder="1"/>
    <xf numFmtId="0" fontId="0" fillId="0" borderId="50" xfId="0" applyBorder="1"/>
    <xf numFmtId="0" fontId="5" fillId="0" borderId="49" xfId="0" applyFont="1" applyBorder="1"/>
    <xf numFmtId="9" fontId="0" fillId="0" borderId="50" xfId="2" applyFont="1" applyBorder="1"/>
    <xf numFmtId="0" fontId="5" fillId="13" borderId="51" xfId="0" applyFont="1" applyFill="1" applyBorder="1"/>
    <xf numFmtId="165" fontId="0" fillId="13" borderId="52" xfId="2" applyNumberFormat="1" applyFont="1" applyFill="1" applyBorder="1"/>
    <xf numFmtId="177" fontId="0" fillId="13" borderId="52" xfId="0" applyNumberFormat="1" applyFill="1" applyBorder="1"/>
    <xf numFmtId="10" fontId="34" fillId="13" borderId="0" xfId="2" applyNumberFormat="1" applyFont="1" applyFill="1" applyBorder="1"/>
    <xf numFmtId="10" fontId="34" fillId="13" borderId="2" xfId="2" applyNumberFormat="1" applyFont="1" applyFill="1" applyBorder="1"/>
    <xf numFmtId="10" fontId="34" fillId="13" borderId="7" xfId="2" applyNumberFormat="1" applyFont="1" applyFill="1" applyBorder="1"/>
    <xf numFmtId="0" fontId="5" fillId="15" borderId="36" xfId="0" applyFont="1" applyFill="1" applyBorder="1" applyAlignment="1">
      <alignment horizontal="center"/>
    </xf>
    <xf numFmtId="0" fontId="7" fillId="17" borderId="36" xfId="0" applyFont="1" applyFill="1" applyBorder="1" applyAlignment="1">
      <alignment horizontal="center"/>
    </xf>
    <xf numFmtId="0" fontId="7" fillId="17" borderId="24" xfId="0" applyFont="1" applyFill="1" applyBorder="1" applyAlignment="1">
      <alignment horizontal="center"/>
    </xf>
    <xf numFmtId="10" fontId="34" fillId="13" borderId="5" xfId="2" applyNumberFormat="1" applyFont="1" applyFill="1" applyBorder="1"/>
    <xf numFmtId="0" fontId="5" fillId="7" borderId="19" xfId="0" applyFont="1" applyFill="1" applyBorder="1" applyAlignment="1">
      <alignment wrapText="1"/>
    </xf>
    <xf numFmtId="0" fontId="5" fillId="15" borderId="23" xfId="0" applyFont="1" applyFill="1" applyBorder="1" applyAlignment="1">
      <alignment horizontal="center"/>
    </xf>
    <xf numFmtId="10" fontId="0" fillId="13" borderId="4" xfId="2" applyNumberFormat="1" applyFont="1" applyFill="1" applyBorder="1"/>
    <xf numFmtId="10" fontId="0" fillId="13" borderId="1" xfId="2" applyNumberFormat="1" applyFont="1" applyFill="1" applyBorder="1"/>
    <xf numFmtId="10" fontId="0" fillId="13" borderId="6" xfId="2" applyNumberFormat="1" applyFont="1" applyFill="1" applyBorder="1"/>
    <xf numFmtId="10" fontId="31" fillId="0" borderId="53" xfId="0" applyNumberFormat="1" applyFont="1" applyBorder="1"/>
    <xf numFmtId="9" fontId="0" fillId="0" borderId="41" xfId="2" applyFont="1" applyBorder="1"/>
    <xf numFmtId="9" fontId="0" fillId="0" borderId="44" xfId="2" applyFont="1" applyBorder="1"/>
    <xf numFmtId="3" fontId="31" fillId="0" borderId="10" xfId="0" applyNumberFormat="1" applyFont="1" applyBorder="1" applyAlignment="1">
      <alignment horizontal="center"/>
    </xf>
    <xf numFmtId="3" fontId="31" fillId="0" borderId="11" xfId="0" applyNumberFormat="1" applyFont="1" applyBorder="1" applyAlignment="1">
      <alignment horizontal="center"/>
    </xf>
    <xf numFmtId="10" fontId="0" fillId="13" borderId="0" xfId="0" applyNumberFormat="1" applyFill="1"/>
    <xf numFmtId="0" fontId="5" fillId="13" borderId="0" xfId="0" applyFont="1" applyFill="1" applyAlignment="1">
      <alignment horizontal="center"/>
    </xf>
    <xf numFmtId="10" fontId="5" fillId="13" borderId="0" xfId="0" applyNumberFormat="1" applyFont="1" applyFill="1"/>
    <xf numFmtId="0" fontId="0" fillId="13" borderId="32" xfId="0" applyFill="1" applyBorder="1"/>
    <xf numFmtId="0" fontId="0" fillId="0" borderId="49" xfId="0" applyBorder="1" applyAlignment="1">
      <alignment horizontal="center" vertical="center"/>
    </xf>
    <xf numFmtId="0" fontId="0" fillId="12" borderId="50" xfId="0" applyFill="1" applyBorder="1" applyAlignment="1">
      <alignment horizontal="center" vertical="center"/>
    </xf>
    <xf numFmtId="0" fontId="0" fillId="0" borderId="49" xfId="0" applyBorder="1" applyAlignment="1">
      <alignment horizontal="center" vertical="center" wrapText="1"/>
    </xf>
    <xf numFmtId="3" fontId="0" fillId="0" borderId="50" xfId="0" applyNumberFormat="1" applyBorder="1" applyAlignment="1">
      <alignment horizontal="center" vertical="center"/>
    </xf>
    <xf numFmtId="10" fontId="0" fillId="0" borderId="50" xfId="0" applyNumberFormat="1" applyBorder="1" applyAlignment="1">
      <alignment horizontal="center" vertical="center"/>
    </xf>
    <xf numFmtId="0" fontId="0" fillId="0" borderId="6" xfId="0" applyBorder="1"/>
    <xf numFmtId="0" fontId="0" fillId="0" borderId="7" xfId="0" applyBorder="1"/>
    <xf numFmtId="10" fontId="0" fillId="0" borderId="48" xfId="0" applyNumberFormat="1" applyBorder="1" applyAlignment="1">
      <alignment horizontal="center" vertical="center"/>
    </xf>
    <xf numFmtId="10" fontId="0" fillId="0" borderId="55" xfId="0" applyNumberFormat="1" applyBorder="1" applyAlignment="1">
      <alignment horizontal="center" vertical="center"/>
    </xf>
    <xf numFmtId="0" fontId="0" fillId="0" borderId="25" xfId="0" applyBorder="1"/>
    <xf numFmtId="0" fontId="0" fillId="0" borderId="56" xfId="0" applyBorder="1"/>
    <xf numFmtId="0" fontId="23" fillId="8" borderId="2" xfId="3" applyFont="1" applyBorder="1">
      <alignment vertical="center"/>
    </xf>
    <xf numFmtId="0" fontId="23" fillId="8" borderId="60" xfId="3" applyFont="1" applyBorder="1">
      <alignment vertical="center"/>
    </xf>
    <xf numFmtId="0" fontId="23" fillId="8" borderId="61" xfId="3" applyFont="1" applyBorder="1">
      <alignment vertical="center"/>
    </xf>
    <xf numFmtId="0" fontId="23" fillId="8" borderId="62" xfId="3" applyFont="1" applyBorder="1">
      <alignment vertical="center"/>
    </xf>
    <xf numFmtId="9" fontId="5" fillId="18" borderId="50" xfId="2" applyFont="1" applyFill="1" applyBorder="1"/>
    <xf numFmtId="0" fontId="0" fillId="0" borderId="51" xfId="0" applyBorder="1"/>
    <xf numFmtId="0" fontId="0" fillId="0" borderId="52" xfId="0" applyBorder="1"/>
    <xf numFmtId="9" fontId="5" fillId="18" borderId="63" xfId="2" applyFont="1" applyFill="1" applyBorder="1"/>
    <xf numFmtId="0" fontId="35" fillId="19" borderId="30" xfId="0" applyFont="1" applyFill="1" applyBorder="1"/>
    <xf numFmtId="0" fontId="35" fillId="19" borderId="64" xfId="0" applyFont="1" applyFill="1" applyBorder="1"/>
    <xf numFmtId="0" fontId="35" fillId="19" borderId="29" xfId="0" applyFont="1" applyFill="1" applyBorder="1"/>
    <xf numFmtId="2" fontId="35" fillId="0" borderId="26" xfId="0" applyNumberFormat="1" applyFont="1" applyBorder="1"/>
    <xf numFmtId="2" fontId="35" fillId="0" borderId="34" xfId="0" applyNumberFormat="1" applyFont="1" applyBorder="1"/>
    <xf numFmtId="2" fontId="35" fillId="0" borderId="25" xfId="0" applyNumberFormat="1" applyFont="1" applyBorder="1"/>
    <xf numFmtId="2" fontId="35" fillId="0" borderId="33" xfId="0" applyNumberFormat="1" applyFont="1" applyBorder="1"/>
    <xf numFmtId="2" fontId="35" fillId="0" borderId="48" xfId="0" applyNumberFormat="1" applyFont="1" applyBorder="1"/>
    <xf numFmtId="2" fontId="35" fillId="0" borderId="31" xfId="0" applyNumberFormat="1" applyFont="1" applyBorder="1"/>
    <xf numFmtId="0" fontId="37" fillId="0" borderId="0" xfId="0" applyFont="1"/>
    <xf numFmtId="0" fontId="36" fillId="13" borderId="0" xfId="0" applyFont="1" applyFill="1"/>
    <xf numFmtId="0" fontId="22" fillId="13" borderId="0" xfId="0" applyFont="1" applyFill="1" applyAlignment="1">
      <alignment vertical="center"/>
    </xf>
    <xf numFmtId="0" fontId="23" fillId="13" borderId="0" xfId="3" applyFont="1" applyFill="1" applyBorder="1">
      <alignment vertical="center"/>
    </xf>
    <xf numFmtId="0" fontId="24" fillId="13" borderId="0" xfId="0" applyFont="1" applyFill="1" applyAlignment="1">
      <alignment vertical="center"/>
    </xf>
    <xf numFmtId="0" fontId="25" fillId="7" borderId="34" xfId="4" applyFont="1" applyFill="1" applyBorder="1" applyAlignment="1">
      <alignment vertical="center" wrapText="1"/>
    </xf>
    <xf numFmtId="0" fontId="0" fillId="7" borderId="23" xfId="0" applyFill="1" applyBorder="1"/>
    <xf numFmtId="0" fontId="0" fillId="7" borderId="36" xfId="0" applyFill="1" applyBorder="1"/>
    <xf numFmtId="0" fontId="0" fillId="7" borderId="24" xfId="0" applyFill="1" applyBorder="1"/>
    <xf numFmtId="4" fontId="0" fillId="0" borderId="34" xfId="0" applyNumberFormat="1" applyBorder="1"/>
    <xf numFmtId="4" fontId="0" fillId="0" borderId="50" xfId="0" applyNumberFormat="1" applyBorder="1"/>
    <xf numFmtId="4" fontId="0" fillId="0" borderId="52" xfId="0" applyNumberFormat="1" applyBorder="1"/>
    <xf numFmtId="4" fontId="0" fillId="0" borderId="63" xfId="0" applyNumberFormat="1" applyBorder="1"/>
    <xf numFmtId="0" fontId="0" fillId="0" borderId="6" xfId="0" applyBorder="1" applyAlignment="1">
      <alignment horizontal="left" indent="1"/>
    </xf>
    <xf numFmtId="9" fontId="0" fillId="0" borderId="66" xfId="2" applyFont="1" applyBorder="1"/>
    <xf numFmtId="0" fontId="0" fillId="0" borderId="66" xfId="0" applyBorder="1"/>
    <xf numFmtId="0" fontId="7" fillId="4" borderId="54" xfId="0" applyFont="1" applyFill="1" applyBorder="1" applyAlignment="1">
      <alignment horizontal="center"/>
    </xf>
    <xf numFmtId="0" fontId="0" fillId="0" borderId="51" xfId="0" applyBorder="1" applyAlignment="1">
      <alignment horizontal="left" indent="1"/>
    </xf>
    <xf numFmtId="0" fontId="5" fillId="15" borderId="54" xfId="0" applyFont="1" applyFill="1" applyBorder="1" applyAlignment="1">
      <alignment horizontal="center"/>
    </xf>
    <xf numFmtId="0" fontId="5" fillId="15" borderId="22" xfId="0" applyFont="1" applyFill="1" applyBorder="1" applyAlignment="1">
      <alignment horizontal="center"/>
    </xf>
    <xf numFmtId="9" fontId="0" fillId="13" borderId="65" xfId="0" applyNumberFormat="1" applyFill="1" applyBorder="1"/>
    <xf numFmtId="9" fontId="0" fillId="13" borderId="7" xfId="0" applyNumberFormat="1" applyFill="1" applyBorder="1"/>
    <xf numFmtId="9" fontId="0" fillId="13" borderId="8" xfId="0" applyNumberFormat="1" applyFill="1" applyBorder="1"/>
    <xf numFmtId="0" fontId="0" fillId="0" borderId="67" xfId="0" applyBorder="1" applyAlignment="1">
      <alignment horizontal="center" vertical="center" wrapText="1"/>
    </xf>
    <xf numFmtId="10" fontId="0" fillId="7" borderId="69" xfId="0" applyNumberFormat="1" applyFill="1" applyBorder="1"/>
    <xf numFmtId="10" fontId="0" fillId="7" borderId="70" xfId="0" applyNumberFormat="1" applyFill="1" applyBorder="1"/>
    <xf numFmtId="0" fontId="5" fillId="7" borderId="57" xfId="0" applyFont="1" applyFill="1" applyBorder="1"/>
    <xf numFmtId="10" fontId="0" fillId="7" borderId="52" xfId="0" applyNumberFormat="1" applyFill="1" applyBorder="1"/>
    <xf numFmtId="10" fontId="0" fillId="7" borderId="63" xfId="0" applyNumberFormat="1" applyFill="1" applyBorder="1"/>
    <xf numFmtId="0" fontId="5" fillId="7" borderId="23" xfId="0" applyFont="1" applyFill="1" applyBorder="1"/>
    <xf numFmtId="0" fontId="5" fillId="7" borderId="36" xfId="0" applyFont="1" applyFill="1" applyBorder="1"/>
    <xf numFmtId="0" fontId="5" fillId="7" borderId="24" xfId="0" applyFont="1" applyFill="1" applyBorder="1"/>
    <xf numFmtId="3" fontId="5" fillId="0" borderId="5" xfId="0" applyNumberFormat="1" applyFont="1" applyBorder="1" applyAlignment="1">
      <alignment horizontal="center"/>
    </xf>
    <xf numFmtId="0" fontId="5" fillId="0" borderId="0" xfId="0" applyFont="1" applyAlignment="1">
      <alignment horizontal="left" vertical="center"/>
    </xf>
    <xf numFmtId="0" fontId="0" fillId="0" borderId="0" xfId="0" applyAlignment="1">
      <alignment horizontal="left" vertical="center"/>
    </xf>
    <xf numFmtId="0" fontId="5" fillId="0" borderId="64" xfId="0" applyFont="1" applyBorder="1" applyAlignment="1">
      <alignment horizontal="center" vertical="center"/>
    </xf>
    <xf numFmtId="0" fontId="5" fillId="0" borderId="64" xfId="0" applyFont="1" applyBorder="1" applyAlignment="1">
      <alignment horizontal="center" vertical="center" wrapText="1"/>
    </xf>
    <xf numFmtId="0" fontId="5" fillId="0" borderId="71" xfId="0" applyFont="1" applyBorder="1" applyAlignment="1">
      <alignment horizontal="center" vertical="center"/>
    </xf>
    <xf numFmtId="0" fontId="5" fillId="0" borderId="72" xfId="0" applyFont="1" applyBorder="1" applyAlignment="1">
      <alignment horizontal="center" vertical="center" wrapText="1"/>
    </xf>
    <xf numFmtId="0" fontId="5" fillId="0" borderId="49" xfId="0" applyFont="1" applyBorder="1" applyAlignment="1">
      <alignment horizontal="center" vertical="center"/>
    </xf>
    <xf numFmtId="0" fontId="0" fillId="0" borderId="50" xfId="0" applyBorder="1" applyAlignment="1">
      <alignment horizontal="center" vertical="center"/>
    </xf>
    <xf numFmtId="0" fontId="5" fillId="0" borderId="50" xfId="0" applyFont="1" applyBorder="1" applyAlignment="1">
      <alignment horizontal="center" vertical="center"/>
    </xf>
    <xf numFmtId="0" fontId="0" fillId="0" borderId="49" xfId="0" applyBorder="1" applyAlignment="1">
      <alignment horizontal="left" vertical="center"/>
    </xf>
    <xf numFmtId="0" fontId="0" fillId="0" borderId="49" xfId="0" applyBorder="1" applyAlignment="1">
      <alignment horizontal="left" vertical="center" wrapText="1"/>
    </xf>
    <xf numFmtId="0" fontId="5" fillId="7" borderId="51" xfId="0" applyFont="1" applyFill="1" applyBorder="1" applyAlignment="1">
      <alignment horizontal="left" vertical="center"/>
    </xf>
    <xf numFmtId="2" fontId="0" fillId="0" borderId="50" xfId="0" applyNumberFormat="1" applyBorder="1" applyAlignment="1">
      <alignment horizontal="center" vertical="center"/>
    </xf>
    <xf numFmtId="165" fontId="0" fillId="7" borderId="63" xfId="0" applyNumberFormat="1" applyFill="1" applyBorder="1" applyAlignment="1">
      <alignment horizontal="center" vertical="center"/>
    </xf>
    <xf numFmtId="172" fontId="0" fillId="0" borderId="50" xfId="0" applyNumberFormat="1" applyBorder="1" applyAlignment="1">
      <alignment horizontal="center" vertical="center"/>
    </xf>
    <xf numFmtId="10" fontId="0" fillId="7" borderId="63" xfId="2" applyNumberFormat="1" applyFont="1" applyFill="1" applyBorder="1" applyAlignment="1">
      <alignment horizontal="center" vertical="center"/>
    </xf>
    <xf numFmtId="0" fontId="0" fillId="0" borderId="49" xfId="0" applyBorder="1" applyAlignment="1">
      <alignment horizontal="center"/>
    </xf>
    <xf numFmtId="0" fontId="0" fillId="0" borderId="50" xfId="0" applyBorder="1" applyAlignment="1">
      <alignment horizontal="center"/>
    </xf>
    <xf numFmtId="9" fontId="0" fillId="0" borderId="50" xfId="0" applyNumberFormat="1" applyBorder="1" applyAlignment="1">
      <alignment horizontal="center" vertical="center"/>
    </xf>
    <xf numFmtId="10" fontId="0" fillId="0" borderId="50" xfId="2" applyNumberFormat="1" applyFont="1" applyBorder="1" applyAlignment="1">
      <alignment horizontal="center" vertical="center"/>
    </xf>
    <xf numFmtId="165" fontId="0" fillId="0" borderId="52" xfId="2" applyNumberFormat="1" applyFont="1" applyBorder="1" applyAlignment="1">
      <alignment horizontal="center" vertical="center"/>
    </xf>
    <xf numFmtId="10" fontId="0" fillId="0" borderId="52" xfId="2" applyNumberFormat="1" applyFont="1" applyBorder="1" applyAlignment="1">
      <alignment horizontal="center" vertical="center"/>
    </xf>
    <xf numFmtId="0" fontId="0" fillId="0" borderId="71" xfId="0" applyBorder="1" applyAlignment="1">
      <alignment horizontal="left" vertical="center"/>
    </xf>
    <xf numFmtId="10" fontId="0" fillId="0" borderId="72" xfId="0" applyNumberFormat="1" applyBorder="1" applyAlignment="1">
      <alignment horizontal="center" vertical="center"/>
    </xf>
    <xf numFmtId="172" fontId="0" fillId="0" borderId="72" xfId="0" applyNumberFormat="1" applyBorder="1" applyAlignment="1">
      <alignment horizontal="center" vertical="center"/>
    </xf>
    <xf numFmtId="0" fontId="0" fillId="0" borderId="64" xfId="0" applyBorder="1" applyAlignment="1">
      <alignment horizontal="center"/>
    </xf>
    <xf numFmtId="0" fontId="0" fillId="0" borderId="72" xfId="0" applyBorder="1" applyAlignment="1">
      <alignment horizontal="center"/>
    </xf>
    <xf numFmtId="0" fontId="5" fillId="7" borderId="51" xfId="0" applyFont="1" applyFill="1" applyBorder="1" applyAlignment="1">
      <alignment horizontal="center" vertical="center"/>
    </xf>
    <xf numFmtId="0" fontId="0" fillId="7" borderId="73" xfId="0" applyFill="1" applyBorder="1" applyAlignment="1">
      <alignment vertical="center"/>
    </xf>
    <xf numFmtId="0" fontId="0" fillId="7" borderId="58" xfId="0" applyFill="1" applyBorder="1" applyAlignment="1">
      <alignment vertical="center"/>
    </xf>
    <xf numFmtId="0" fontId="0" fillId="7" borderId="74" xfId="0" applyFill="1" applyBorder="1" applyAlignment="1">
      <alignment vertical="center"/>
    </xf>
    <xf numFmtId="0" fontId="5" fillId="7" borderId="63" xfId="0" applyFont="1" applyFill="1" applyBorder="1" applyAlignment="1">
      <alignment horizontal="center" vertical="center"/>
    </xf>
    <xf numFmtId="0" fontId="5" fillId="7" borderId="51" xfId="0" applyFont="1" applyFill="1" applyBorder="1" applyAlignment="1">
      <alignment horizontal="center" vertical="center" wrapText="1"/>
    </xf>
    <xf numFmtId="0" fontId="0" fillId="7" borderId="51" xfId="0" applyFill="1" applyBorder="1" applyAlignment="1">
      <alignment horizontal="center" vertical="center"/>
    </xf>
    <xf numFmtId="0" fontId="0" fillId="7" borderId="52" xfId="0" applyFill="1" applyBorder="1" applyAlignment="1">
      <alignment horizontal="center" vertical="center"/>
    </xf>
    <xf numFmtId="165" fontId="0" fillId="7" borderId="52" xfId="2" applyNumberFormat="1" applyFont="1" applyFill="1" applyBorder="1" applyAlignment="1">
      <alignment horizontal="center" vertical="center"/>
    </xf>
    <xf numFmtId="10" fontId="0" fillId="7" borderId="52" xfId="2" applyNumberFormat="1" applyFont="1" applyFill="1" applyBorder="1" applyAlignment="1">
      <alignment horizontal="center" vertical="center"/>
    </xf>
    <xf numFmtId="0" fontId="0" fillId="7" borderId="0" xfId="0" applyFill="1" applyAlignment="1">
      <alignment horizontal="left" vertical="center"/>
    </xf>
    <xf numFmtId="0" fontId="0" fillId="7" borderId="75" xfId="0" applyFill="1" applyBorder="1" applyAlignment="1">
      <alignment horizontal="center" vertical="center"/>
    </xf>
    <xf numFmtId="0" fontId="0" fillId="12" borderId="75" xfId="0" applyFill="1" applyBorder="1" applyAlignment="1">
      <alignment horizontal="center" vertical="center"/>
    </xf>
    <xf numFmtId="3" fontId="0" fillId="0" borderId="75" xfId="0" applyNumberFormat="1" applyBorder="1" applyAlignment="1">
      <alignment horizontal="center" vertical="center"/>
    </xf>
    <xf numFmtId="1" fontId="0" fillId="0" borderId="75" xfId="0" applyNumberFormat="1" applyBorder="1" applyAlignment="1">
      <alignment horizontal="center" vertical="center"/>
    </xf>
    <xf numFmtId="10" fontId="0" fillId="0" borderId="75" xfId="2" applyNumberFormat="1" applyFont="1" applyBorder="1" applyAlignment="1">
      <alignment horizontal="center" vertical="center"/>
    </xf>
    <xf numFmtId="10" fontId="0" fillId="0" borderId="75" xfId="0" applyNumberFormat="1" applyBorder="1" applyAlignment="1">
      <alignment horizontal="center" vertical="center"/>
    </xf>
    <xf numFmtId="0" fontId="0" fillId="0" borderId="75" xfId="0" applyBorder="1"/>
    <xf numFmtId="0" fontId="5" fillId="0" borderId="75" xfId="0" applyFont="1" applyBorder="1"/>
    <xf numFmtId="10" fontId="0" fillId="0" borderId="75" xfId="2" applyNumberFormat="1" applyFont="1" applyBorder="1"/>
    <xf numFmtId="0" fontId="0" fillId="20" borderId="0" xfId="0" applyFill="1"/>
    <xf numFmtId="0" fontId="0" fillId="20" borderId="1" xfId="0" applyFill="1" applyBorder="1"/>
    <xf numFmtId="0" fontId="0" fillId="20" borderId="2" xfId="0" applyFill="1" applyBorder="1"/>
    <xf numFmtId="0" fontId="0" fillId="20" borderId="4" xfId="0" applyFill="1" applyBorder="1"/>
    <xf numFmtId="0" fontId="0" fillId="20" borderId="6" xfId="0" applyFill="1" applyBorder="1"/>
    <xf numFmtId="0" fontId="0" fillId="20" borderId="7" xfId="0" applyFill="1" applyBorder="1"/>
    <xf numFmtId="0" fontId="5" fillId="20" borderId="36" xfId="0" applyFont="1" applyFill="1" applyBorder="1"/>
    <xf numFmtId="0" fontId="5" fillId="20" borderId="24" xfId="0" applyFont="1" applyFill="1" applyBorder="1"/>
    <xf numFmtId="0" fontId="0" fillId="20" borderId="5" xfId="0" applyFill="1" applyBorder="1"/>
    <xf numFmtId="0" fontId="0" fillId="20" borderId="3" xfId="0" applyFill="1" applyBorder="1"/>
    <xf numFmtId="0" fontId="0" fillId="20" borderId="8" xfId="0" applyFill="1" applyBorder="1"/>
    <xf numFmtId="0" fontId="5" fillId="20" borderId="7" xfId="0" applyFont="1" applyFill="1" applyBorder="1"/>
    <xf numFmtId="0" fontId="5" fillId="13" borderId="6" xfId="0" applyFont="1" applyFill="1" applyBorder="1"/>
    <xf numFmtId="0" fontId="5" fillId="13" borderId="7" xfId="0" applyFont="1" applyFill="1" applyBorder="1"/>
    <xf numFmtId="0" fontId="5" fillId="7" borderId="60" xfId="0" applyFont="1" applyFill="1" applyBorder="1"/>
    <xf numFmtId="165" fontId="0" fillId="13" borderId="62" xfId="2" applyNumberFormat="1" applyFont="1" applyFill="1" applyBorder="1"/>
    <xf numFmtId="0" fontId="5" fillId="7" borderId="51" xfId="0" applyFont="1" applyFill="1" applyBorder="1" applyAlignment="1">
      <alignment wrapText="1"/>
    </xf>
    <xf numFmtId="9" fontId="0" fillId="13" borderId="63" xfId="0" applyNumberFormat="1" applyFill="1" applyBorder="1"/>
    <xf numFmtId="0" fontId="29" fillId="13" borderId="0" xfId="0" applyFont="1" applyFill="1" applyAlignment="1">
      <alignment horizontal="center"/>
    </xf>
    <xf numFmtId="9" fontId="10" fillId="6" borderId="0" xfId="0" applyNumberFormat="1" applyFont="1" applyFill="1"/>
    <xf numFmtId="165" fontId="0" fillId="6" borderId="0" xfId="2" applyNumberFormat="1" applyFont="1" applyFill="1"/>
    <xf numFmtId="3" fontId="5" fillId="0" borderId="4" xfId="0" applyNumberFormat="1" applyFont="1" applyBorder="1" applyAlignment="1">
      <alignment horizontal="center"/>
    </xf>
    <xf numFmtId="10" fontId="0" fillId="0" borderId="63" xfId="0" applyNumberFormat="1" applyBorder="1" applyAlignment="1">
      <alignment horizontal="center" vertical="center"/>
    </xf>
    <xf numFmtId="0" fontId="0" fillId="0" borderId="51" xfId="0" applyBorder="1" applyAlignment="1">
      <alignment horizontal="center" vertical="center" wrapText="1"/>
    </xf>
    <xf numFmtId="10" fontId="0" fillId="0" borderId="48" xfId="0" applyNumberFormat="1" applyBorder="1"/>
    <xf numFmtId="0" fontId="0" fillId="7" borderId="25" xfId="0" applyFill="1" applyBorder="1" applyAlignment="1">
      <alignment wrapText="1"/>
    </xf>
    <xf numFmtId="0" fontId="5" fillId="7" borderId="25" xfId="0" applyFont="1" applyFill="1" applyBorder="1" applyAlignment="1">
      <alignment wrapText="1"/>
    </xf>
    <xf numFmtId="0" fontId="0" fillId="12" borderId="34" xfId="0" applyFill="1" applyBorder="1"/>
    <xf numFmtId="0" fontId="5" fillId="0" borderId="6" xfId="0" applyFont="1" applyBorder="1" applyAlignment="1">
      <alignment horizontal="left"/>
    </xf>
    <xf numFmtId="170" fontId="5" fillId="0" borderId="7" xfId="1" applyNumberFormat="1" applyFont="1" applyBorder="1"/>
    <xf numFmtId="170" fontId="5" fillId="0" borderId="8" xfId="1" applyNumberFormat="1" applyFont="1" applyBorder="1"/>
    <xf numFmtId="0" fontId="5" fillId="0" borderId="51" xfId="0" applyFont="1" applyBorder="1" applyAlignment="1">
      <alignment horizontal="left"/>
    </xf>
    <xf numFmtId="0" fontId="5" fillId="21" borderId="0" xfId="0" applyFont="1" applyFill="1" applyAlignment="1">
      <alignment horizontal="left"/>
    </xf>
    <xf numFmtId="0" fontId="5" fillId="21" borderId="0" xfId="0" applyFont="1" applyFill="1"/>
    <xf numFmtId="0" fontId="0" fillId="0" borderId="51" xfId="0" applyBorder="1" applyAlignment="1">
      <alignment horizontal="center"/>
    </xf>
    <xf numFmtId="0" fontId="0" fillId="0" borderId="52" xfId="0" applyBorder="1" applyAlignment="1">
      <alignment horizontal="center"/>
    </xf>
    <xf numFmtId="0" fontId="0" fillId="0" borderId="63" xfId="0" applyBorder="1" applyAlignment="1">
      <alignment horizontal="center"/>
    </xf>
    <xf numFmtId="0" fontId="7" fillId="4" borderId="34" xfId="0" applyFont="1" applyFill="1" applyBorder="1" applyAlignment="1">
      <alignment horizontal="center"/>
    </xf>
    <xf numFmtId="0" fontId="7" fillId="4" borderId="50" xfId="0" applyFont="1" applyFill="1" applyBorder="1" applyAlignment="1">
      <alignment horizontal="center"/>
    </xf>
    <xf numFmtId="164" fontId="0" fillId="0" borderId="34" xfId="1" applyFont="1" applyBorder="1" applyAlignment="1">
      <alignment horizontal="center"/>
    </xf>
    <xf numFmtId="164" fontId="0" fillId="0" borderId="52" xfId="1" applyFont="1" applyBorder="1" applyAlignment="1">
      <alignment horizontal="center"/>
    </xf>
    <xf numFmtId="10" fontId="10" fillId="0" borderId="0" xfId="0" applyNumberFormat="1" applyFont="1"/>
    <xf numFmtId="10" fontId="0" fillId="0" borderId="52" xfId="0" applyNumberFormat="1" applyBorder="1" applyAlignment="1">
      <alignment horizontal="center" vertical="center"/>
    </xf>
    <xf numFmtId="0" fontId="5" fillId="3" borderId="9" xfId="0" applyFont="1" applyFill="1" applyBorder="1"/>
    <xf numFmtId="165" fontId="0" fillId="0" borderId="63" xfId="2" applyNumberFormat="1" applyFont="1" applyBorder="1" applyAlignment="1">
      <alignment horizontal="center" vertical="center"/>
    </xf>
    <xf numFmtId="9" fontId="0" fillId="0" borderId="34" xfId="0" applyNumberFormat="1" applyBorder="1"/>
    <xf numFmtId="9" fontId="0" fillId="0" borderId="50" xfId="0" applyNumberFormat="1" applyBorder="1"/>
    <xf numFmtId="0" fontId="0" fillId="0" borderId="76" xfId="0" applyBorder="1"/>
    <xf numFmtId="179" fontId="0" fillId="0" borderId="7" xfId="1" applyNumberFormat="1" applyFont="1" applyBorder="1"/>
    <xf numFmtId="179" fontId="0" fillId="0" borderId="10" xfId="1" applyNumberFormat="1" applyFont="1" applyBorder="1" applyAlignment="1"/>
    <xf numFmtId="179" fontId="0" fillId="0" borderId="12" xfId="1" applyNumberFormat="1" applyFont="1" applyBorder="1" applyAlignment="1"/>
    <xf numFmtId="179" fontId="0" fillId="0" borderId="35" xfId="1" applyNumberFormat="1" applyFont="1" applyBorder="1"/>
    <xf numFmtId="170" fontId="0" fillId="0" borderId="35" xfId="1" applyNumberFormat="1" applyFont="1" applyBorder="1"/>
    <xf numFmtId="0" fontId="0" fillId="0" borderId="47" xfId="0" applyBorder="1"/>
    <xf numFmtId="0" fontId="0" fillId="12" borderId="25" xfId="0" applyFill="1" applyBorder="1" applyAlignment="1">
      <alignment horizontal="center" vertical="center"/>
    </xf>
    <xf numFmtId="3" fontId="0" fillId="0" borderId="25" xfId="0" applyNumberFormat="1" applyBorder="1" applyAlignment="1">
      <alignment horizontal="center" vertical="center"/>
    </xf>
    <xf numFmtId="165" fontId="0" fillId="0" borderId="73" xfId="2" applyNumberFormat="1" applyFont="1" applyBorder="1" applyAlignment="1">
      <alignment horizontal="center" vertical="center"/>
    </xf>
    <xf numFmtId="10" fontId="0" fillId="0" borderId="73" xfId="0" applyNumberFormat="1" applyBorder="1" applyAlignment="1">
      <alignment horizontal="center" vertical="center"/>
    </xf>
    <xf numFmtId="0" fontId="7" fillId="4" borderId="34" xfId="0" applyFont="1" applyFill="1" applyBorder="1"/>
    <xf numFmtId="0" fontId="7" fillId="4" borderId="50" xfId="0" applyFont="1" applyFill="1" applyBorder="1"/>
    <xf numFmtId="0" fontId="0" fillId="0" borderId="63" xfId="0" applyBorder="1"/>
    <xf numFmtId="0" fontId="5" fillId="13" borderId="71" xfId="0" applyFont="1" applyFill="1" applyBorder="1" applyAlignment="1">
      <alignment horizontal="center" vertical="center"/>
    </xf>
    <xf numFmtId="0" fontId="5" fillId="13" borderId="64" xfId="0" applyFont="1" applyFill="1" applyBorder="1" applyAlignment="1">
      <alignment horizontal="center" vertical="center" wrapText="1"/>
    </xf>
    <xf numFmtId="0" fontId="5" fillId="13" borderId="64" xfId="0" applyFont="1" applyFill="1" applyBorder="1" applyAlignment="1">
      <alignment horizontal="center" vertical="center"/>
    </xf>
    <xf numFmtId="0" fontId="5" fillId="13" borderId="72" xfId="0" applyFont="1" applyFill="1" applyBorder="1" applyAlignment="1">
      <alignment horizontal="center" vertical="center" wrapText="1"/>
    </xf>
    <xf numFmtId="0" fontId="5" fillId="13" borderId="49" xfId="0" applyFont="1" applyFill="1" applyBorder="1" applyAlignment="1">
      <alignment horizontal="center" vertical="center"/>
    </xf>
    <xf numFmtId="3" fontId="0" fillId="13" borderId="34" xfId="0" applyNumberFormat="1" applyFill="1" applyBorder="1" applyAlignment="1">
      <alignment horizontal="center" vertical="center"/>
    </xf>
    <xf numFmtId="10" fontId="0" fillId="13" borderId="34" xfId="2" applyNumberFormat="1" applyFont="1" applyFill="1" applyBorder="1" applyAlignment="1">
      <alignment horizontal="center" vertical="center"/>
    </xf>
    <xf numFmtId="165" fontId="0" fillId="13" borderId="34" xfId="2" applyNumberFormat="1" applyFont="1" applyFill="1" applyBorder="1" applyAlignment="1">
      <alignment horizontal="center" vertical="center"/>
    </xf>
    <xf numFmtId="165" fontId="0" fillId="13" borderId="50" xfId="2" applyNumberFormat="1" applyFont="1" applyFill="1" applyBorder="1" applyAlignment="1">
      <alignment horizontal="center" vertical="center"/>
    </xf>
    <xf numFmtId="0" fontId="5" fillId="13" borderId="67" xfId="0" applyFont="1" applyFill="1" applyBorder="1" applyAlignment="1">
      <alignment horizontal="center" vertical="center"/>
    </xf>
    <xf numFmtId="3" fontId="0" fillId="13" borderId="48" xfId="0" applyNumberFormat="1" applyFill="1" applyBorder="1" applyAlignment="1">
      <alignment horizontal="center" vertical="center"/>
    </xf>
    <xf numFmtId="10" fontId="0" fillId="13" borderId="48" xfId="2" applyNumberFormat="1" applyFont="1" applyFill="1" applyBorder="1" applyAlignment="1">
      <alignment horizontal="center" vertical="center"/>
    </xf>
    <xf numFmtId="0" fontId="0" fillId="13" borderId="48" xfId="0" applyFill="1" applyBorder="1" applyAlignment="1">
      <alignment horizontal="center" vertical="center"/>
    </xf>
    <xf numFmtId="0" fontId="0" fillId="13" borderId="55" xfId="0" applyFill="1" applyBorder="1" applyAlignment="1">
      <alignment horizontal="center" vertical="center"/>
    </xf>
    <xf numFmtId="165" fontId="0" fillId="11" borderId="69" xfId="0" applyNumberFormat="1" applyFill="1" applyBorder="1" applyAlignment="1">
      <alignment horizontal="center" vertical="center"/>
    </xf>
    <xf numFmtId="165" fontId="0" fillId="11" borderId="70" xfId="2" applyNumberFormat="1" applyFont="1" applyFill="1" applyBorder="1" applyAlignment="1">
      <alignment horizontal="center" vertical="center"/>
    </xf>
    <xf numFmtId="0" fontId="0" fillId="0" borderId="67" xfId="0" applyBorder="1"/>
    <xf numFmtId="0" fontId="0" fillId="0" borderId="55" xfId="0" applyBorder="1"/>
    <xf numFmtId="170" fontId="0" fillId="0" borderId="7" xfId="1" applyNumberFormat="1" applyFont="1" applyBorder="1"/>
    <xf numFmtId="170" fontId="0" fillId="0" borderId="8" xfId="1" applyNumberFormat="1" applyFont="1" applyBorder="1"/>
    <xf numFmtId="170" fontId="0" fillId="0" borderId="5" xfId="0" applyNumberFormat="1" applyBorder="1"/>
    <xf numFmtId="170" fontId="0" fillId="0" borderId="8" xfId="0" applyNumberFormat="1" applyBorder="1"/>
    <xf numFmtId="1" fontId="5" fillId="11" borderId="23" xfId="0" applyNumberFormat="1" applyFont="1" applyFill="1" applyBorder="1"/>
    <xf numFmtId="1" fontId="5" fillId="11" borderId="36" xfId="0" applyNumberFormat="1" applyFont="1" applyFill="1" applyBorder="1"/>
    <xf numFmtId="1" fontId="5" fillId="11" borderId="24" xfId="0" applyNumberFormat="1" applyFont="1" applyFill="1" applyBorder="1"/>
    <xf numFmtId="0" fontId="38" fillId="13" borderId="0" xfId="0" applyFont="1" applyFill="1"/>
    <xf numFmtId="0" fontId="39" fillId="13" borderId="0" xfId="0" applyFont="1" applyFill="1"/>
    <xf numFmtId="0" fontId="5" fillId="0" borderId="21" xfId="0" applyFont="1" applyBorder="1" applyAlignment="1">
      <alignment horizontal="center"/>
    </xf>
    <xf numFmtId="14" fontId="0" fillId="6" borderId="4" xfId="0" applyNumberFormat="1" applyFill="1" applyBorder="1" applyAlignment="1">
      <alignment horizontal="center"/>
    </xf>
    <xf numFmtId="14" fontId="0" fillId="0" borderId="4" xfId="0" applyNumberFormat="1" applyBorder="1" applyAlignment="1">
      <alignment horizontal="center"/>
    </xf>
    <xf numFmtId="14" fontId="0" fillId="6" borderId="6" xfId="0" applyNumberFormat="1" applyFill="1" applyBorder="1" applyAlignment="1">
      <alignment horizontal="center"/>
    </xf>
    <xf numFmtId="0" fontId="0" fillId="0" borderId="31" xfId="0" applyBorder="1" applyAlignment="1">
      <alignment horizontal="center"/>
    </xf>
    <xf numFmtId="0" fontId="0" fillId="0" borderId="27" xfId="0" applyBorder="1" applyAlignment="1">
      <alignment horizontal="center"/>
    </xf>
    <xf numFmtId="0" fontId="0" fillId="0" borderId="47" xfId="0" applyBorder="1" applyAlignment="1">
      <alignment horizontal="center"/>
    </xf>
    <xf numFmtId="0" fontId="5" fillId="0" borderId="77" xfId="0" applyFont="1" applyBorder="1" applyAlignment="1">
      <alignment horizontal="center"/>
    </xf>
    <xf numFmtId="178" fontId="0" fillId="0" borderId="27" xfId="0" applyNumberFormat="1" applyBorder="1" applyAlignment="1">
      <alignment horizontal="center"/>
    </xf>
    <xf numFmtId="178" fontId="0" fillId="0" borderId="47" xfId="0" applyNumberFormat="1" applyBorder="1" applyAlignment="1">
      <alignment horizontal="center"/>
    </xf>
    <xf numFmtId="0" fontId="5" fillId="0" borderId="62" xfId="0" applyFont="1" applyBorder="1" applyAlignment="1">
      <alignment horizontal="center"/>
    </xf>
    <xf numFmtId="0" fontId="0" fillId="0" borderId="78" xfId="0" applyBorder="1" applyAlignment="1">
      <alignment horizontal="center"/>
    </xf>
    <xf numFmtId="178" fontId="0" fillId="0" borderId="78" xfId="0" applyNumberFormat="1" applyBorder="1" applyAlignment="1">
      <alignment horizontal="center"/>
    </xf>
    <xf numFmtId="178" fontId="0" fillId="0" borderId="79" xfId="0" applyNumberFormat="1" applyBorder="1" applyAlignment="1">
      <alignment horizontal="center"/>
    </xf>
    <xf numFmtId="0" fontId="5" fillId="0" borderId="6" xfId="0" applyFont="1" applyBorder="1" applyAlignment="1">
      <alignment horizontal="center"/>
    </xf>
    <xf numFmtId="0" fontId="5" fillId="0" borderId="4" xfId="0" applyFont="1" applyBorder="1" applyAlignment="1">
      <alignment horizontal="center"/>
    </xf>
    <xf numFmtId="0" fontId="5" fillId="3" borderId="6" xfId="0" applyFont="1" applyFill="1" applyBorder="1" applyAlignment="1">
      <alignment horizontal="center"/>
    </xf>
    <xf numFmtId="172" fontId="0" fillId="0" borderId="80" xfId="0" applyNumberFormat="1" applyBorder="1"/>
    <xf numFmtId="172" fontId="0" fillId="0" borderId="78" xfId="0" applyNumberFormat="1" applyBorder="1"/>
    <xf numFmtId="172" fontId="5" fillId="0" borderId="79" xfId="0" applyNumberFormat="1" applyFont="1" applyBorder="1"/>
    <xf numFmtId="0" fontId="20" fillId="0" borderId="4" xfId="4" applyFont="1" applyBorder="1" applyAlignment="1">
      <alignment vertical="center"/>
    </xf>
    <xf numFmtId="0" fontId="20" fillId="0" borderId="0" xfId="4" applyFont="1" applyBorder="1" applyAlignment="1">
      <alignment horizontal="left" vertical="center" indent="2"/>
    </xf>
    <xf numFmtId="0" fontId="20" fillId="0" borderId="0" xfId="4" applyFont="1" applyBorder="1" applyAlignment="1">
      <alignment vertical="center"/>
    </xf>
    <xf numFmtId="0" fontId="25" fillId="7" borderId="68" xfId="4" applyFont="1" applyFill="1" applyBorder="1" applyAlignment="1">
      <alignment vertical="center"/>
    </xf>
    <xf numFmtId="0" fontId="0" fillId="0" borderId="60" xfId="0" applyBorder="1" applyAlignment="1">
      <alignment horizontal="left"/>
    </xf>
    <xf numFmtId="9" fontId="0" fillId="0" borderId="62" xfId="2" applyFont="1" applyFill="1" applyBorder="1"/>
    <xf numFmtId="0" fontId="0" fillId="0" borderId="49" xfId="0" applyBorder="1" applyAlignment="1">
      <alignment horizontal="left"/>
    </xf>
    <xf numFmtId="9" fontId="0" fillId="0" borderId="50" xfId="2" applyFont="1" applyFill="1" applyBorder="1"/>
    <xf numFmtId="9" fontId="5" fillId="3" borderId="63" xfId="2" applyFont="1" applyFill="1" applyBorder="1"/>
    <xf numFmtId="0" fontId="23" fillId="25" borderId="1" xfId="3" applyFont="1" applyFill="1" applyBorder="1">
      <alignment vertical="center"/>
    </xf>
    <xf numFmtId="165" fontId="20" fillId="0" borderId="70" xfId="2" applyNumberFormat="1" applyFont="1" applyBorder="1" applyAlignment="1">
      <alignment horizontal="left" vertical="center" indent="2"/>
    </xf>
    <xf numFmtId="0" fontId="5" fillId="0" borderId="51" xfId="0" applyFont="1" applyBorder="1"/>
    <xf numFmtId="170" fontId="0" fillId="0" borderId="50" xfId="0" applyNumberFormat="1" applyBorder="1"/>
    <xf numFmtId="173" fontId="1" fillId="0" borderId="50" xfId="2" applyNumberFormat="1" applyFont="1" applyBorder="1"/>
    <xf numFmtId="10" fontId="1" fillId="0" borderId="50" xfId="2" applyNumberFormat="1" applyFont="1" applyBorder="1"/>
    <xf numFmtId="9" fontId="1" fillId="0" borderId="50" xfId="2" applyFont="1" applyBorder="1"/>
    <xf numFmtId="10" fontId="5" fillId="3" borderId="63" xfId="2" applyNumberFormat="1" applyFont="1" applyFill="1" applyBorder="1"/>
    <xf numFmtId="3" fontId="27" fillId="0" borderId="0" xfId="0" applyNumberFormat="1" applyFont="1" applyAlignment="1">
      <alignment horizontal="center"/>
    </xf>
    <xf numFmtId="9" fontId="10" fillId="3" borderId="0" xfId="0" applyNumberFormat="1" applyFont="1" applyFill="1"/>
    <xf numFmtId="9" fontId="10" fillId="3" borderId="41" xfId="0" applyNumberFormat="1" applyFont="1" applyFill="1" applyBorder="1"/>
    <xf numFmtId="9" fontId="10" fillId="6" borderId="0" xfId="2" applyFont="1" applyFill="1"/>
    <xf numFmtId="9" fontId="10" fillId="6" borderId="41" xfId="2" applyFont="1" applyFill="1" applyBorder="1"/>
    <xf numFmtId="9" fontId="10" fillId="6" borderId="43" xfId="2" applyFont="1" applyFill="1" applyBorder="1"/>
    <xf numFmtId="9" fontId="10" fillId="6" borderId="44" xfId="2" applyFont="1" applyFill="1" applyBorder="1"/>
    <xf numFmtId="165" fontId="31" fillId="0" borderId="41" xfId="2" applyNumberFormat="1" applyFont="1" applyBorder="1"/>
    <xf numFmtId="165" fontId="31" fillId="0" borderId="0" xfId="2" applyNumberFormat="1" applyFont="1"/>
    <xf numFmtId="0" fontId="0" fillId="7" borderId="1" xfId="0" applyFill="1" applyBorder="1"/>
    <xf numFmtId="0" fontId="0" fillId="7" borderId="2" xfId="0" applyFill="1" applyBorder="1"/>
    <xf numFmtId="0" fontId="0" fillId="7" borderId="3" xfId="0" applyFill="1" applyBorder="1"/>
    <xf numFmtId="9" fontId="0" fillId="0" borderId="52" xfId="2" applyFont="1" applyBorder="1"/>
    <xf numFmtId="9" fontId="0" fillId="0" borderId="63" xfId="2" applyFont="1" applyBorder="1"/>
    <xf numFmtId="0" fontId="7" fillId="4" borderId="5" xfId="0" applyFont="1" applyFill="1" applyBorder="1" applyAlignment="1">
      <alignment horizontal="center"/>
    </xf>
    <xf numFmtId="0" fontId="5" fillId="15" borderId="34" xfId="0" applyFont="1" applyFill="1" applyBorder="1" applyAlignment="1">
      <alignment horizontal="center"/>
    </xf>
    <xf numFmtId="0" fontId="7" fillId="17" borderId="34" xfId="0" applyFont="1" applyFill="1" applyBorder="1" applyAlignment="1">
      <alignment horizontal="center"/>
    </xf>
    <xf numFmtId="0" fontId="0" fillId="13" borderId="49" xfId="0" applyFill="1" applyBorder="1"/>
    <xf numFmtId="0" fontId="7" fillId="17" borderId="50" xfId="0" applyFont="1" applyFill="1" applyBorder="1" applyAlignment="1">
      <alignment horizontal="center"/>
    </xf>
    <xf numFmtId="0" fontId="41" fillId="9" borderId="51" xfId="0" applyFont="1" applyFill="1" applyBorder="1" applyAlignment="1">
      <alignment vertical="center" wrapText="1"/>
    </xf>
    <xf numFmtId="165" fontId="22" fillId="9" borderId="52" xfId="2" applyNumberFormat="1" applyFont="1" applyFill="1" applyBorder="1" applyAlignment="1">
      <alignment vertical="center"/>
    </xf>
    <xf numFmtId="165" fontId="22" fillId="9" borderId="52" xfId="0" applyNumberFormat="1" applyFont="1" applyFill="1" applyBorder="1" applyAlignment="1">
      <alignment vertical="center"/>
    </xf>
    <xf numFmtId="165" fontId="0" fillId="0" borderId="0" xfId="2" applyNumberFormat="1" applyFont="1" applyAlignment="1">
      <alignment horizontal="center"/>
    </xf>
    <xf numFmtId="165" fontId="0" fillId="0" borderId="25" xfId="2" applyNumberFormat="1" applyFont="1" applyBorder="1" applyAlignment="1">
      <alignment horizontal="center" vertical="center"/>
    </xf>
    <xf numFmtId="165" fontId="0" fillId="7" borderId="73" xfId="2" applyNumberFormat="1" applyFont="1" applyFill="1" applyBorder="1" applyAlignment="1">
      <alignment horizontal="center" vertical="center"/>
    </xf>
    <xf numFmtId="165" fontId="22" fillId="9" borderId="63" xfId="0" applyNumberFormat="1" applyFont="1" applyFill="1" applyBorder="1" applyAlignment="1">
      <alignment vertical="center"/>
    </xf>
    <xf numFmtId="10" fontId="0" fillId="0" borderId="70" xfId="0" applyNumberFormat="1" applyBorder="1"/>
    <xf numFmtId="0" fontId="0" fillId="7" borderId="68" xfId="0" applyFill="1" applyBorder="1" applyAlignment="1">
      <alignment horizontal="center" vertical="center" wrapText="1"/>
    </xf>
    <xf numFmtId="0" fontId="0" fillId="12" borderId="0" xfId="0" applyFill="1" applyAlignment="1">
      <alignment horizontal="center"/>
    </xf>
    <xf numFmtId="0" fontId="0" fillId="12" borderId="5" xfId="0" applyFill="1" applyBorder="1" applyAlignment="1">
      <alignment horizontal="center"/>
    </xf>
    <xf numFmtId="0" fontId="23" fillId="24" borderId="81" xfId="3" applyFont="1" applyFill="1" applyBorder="1">
      <alignment vertical="center"/>
    </xf>
    <xf numFmtId="0" fontId="23" fillId="23" borderId="2" xfId="3" applyFont="1" applyFill="1" applyBorder="1">
      <alignment vertical="center"/>
    </xf>
    <xf numFmtId="0" fontId="23" fillId="23" borderId="3" xfId="3" applyFont="1" applyFill="1" applyBorder="1">
      <alignment vertical="center"/>
    </xf>
    <xf numFmtId="3" fontId="24" fillId="0" borderId="27" xfId="5" applyNumberFormat="1" applyFont="1" applyBorder="1" applyAlignment="1">
      <alignment vertical="center"/>
    </xf>
    <xf numFmtId="3" fontId="24" fillId="0" borderId="0" xfId="5" applyNumberFormat="1" applyFont="1" applyBorder="1" applyAlignment="1">
      <alignment vertical="center"/>
    </xf>
    <xf numFmtId="3" fontId="21" fillId="0" borderId="0" xfId="5" applyNumberFormat="1" applyBorder="1" applyAlignment="1">
      <alignment vertical="center"/>
    </xf>
    <xf numFmtId="3" fontId="21" fillId="0" borderId="5" xfId="5" applyNumberFormat="1" applyBorder="1" applyAlignment="1">
      <alignment vertical="center"/>
    </xf>
    <xf numFmtId="3" fontId="24" fillId="7" borderId="25" xfId="5" applyNumberFormat="1" applyFont="1" applyFill="1" applyBorder="1" applyAlignment="1">
      <alignment vertical="center"/>
    </xf>
    <xf numFmtId="3" fontId="24" fillId="7" borderId="35" xfId="5" applyNumberFormat="1" applyFont="1" applyFill="1" applyBorder="1" applyAlignment="1">
      <alignment vertical="center"/>
    </xf>
    <xf numFmtId="3" fontId="24" fillId="7" borderId="56" xfId="5" applyNumberFormat="1" applyFont="1" applyFill="1" applyBorder="1" applyAlignment="1">
      <alignment vertical="center"/>
    </xf>
    <xf numFmtId="9" fontId="24" fillId="7" borderId="27" xfId="2" applyFont="1" applyFill="1" applyBorder="1" applyAlignment="1">
      <alignment vertical="center"/>
    </xf>
    <xf numFmtId="9" fontId="24" fillId="7" borderId="0" xfId="5" applyNumberFormat="1" applyFont="1" applyFill="1" applyBorder="1" applyAlignment="1">
      <alignment vertical="center"/>
    </xf>
    <xf numFmtId="9" fontId="24" fillId="7" borderId="5" xfId="5" applyNumberFormat="1" applyFont="1" applyFill="1" applyBorder="1" applyAlignment="1">
      <alignment vertical="center"/>
    </xf>
    <xf numFmtId="166" fontId="24" fillId="7" borderId="73" xfId="5" applyFont="1" applyFill="1" applyBorder="1" applyAlignment="1">
      <alignment vertical="center"/>
    </xf>
    <xf numFmtId="9" fontId="24" fillId="7" borderId="58" xfId="2" applyFont="1" applyFill="1" applyBorder="1" applyAlignment="1">
      <alignment vertical="center"/>
    </xf>
    <xf numFmtId="9" fontId="24" fillId="7" borderId="59" xfId="2" applyFont="1" applyFill="1" applyBorder="1" applyAlignment="1">
      <alignment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77" xfId="0" applyBorder="1" applyAlignment="1">
      <alignment horizontal="center" vertical="center"/>
    </xf>
    <xf numFmtId="0" fontId="43" fillId="0" borderId="82" xfId="4" applyFont="1" applyBorder="1" applyAlignment="1">
      <alignment horizontal="center" vertical="center"/>
    </xf>
    <xf numFmtId="9" fontId="43" fillId="0" borderId="83" xfId="4" applyNumberFormat="1" applyFont="1" applyBorder="1" applyAlignment="1">
      <alignment horizontal="center" vertical="center"/>
    </xf>
    <xf numFmtId="9" fontId="0" fillId="0" borderId="83" xfId="0" applyNumberFormat="1" applyBorder="1" applyAlignment="1">
      <alignment horizontal="center" vertical="center"/>
    </xf>
    <xf numFmtId="9" fontId="43" fillId="0" borderId="83" xfId="2" applyFont="1" applyBorder="1" applyAlignment="1">
      <alignment horizontal="center" vertical="center"/>
    </xf>
    <xf numFmtId="0" fontId="44" fillId="7" borderId="84" xfId="0" applyFont="1" applyFill="1" applyBorder="1" applyAlignment="1">
      <alignment horizontal="center" vertical="center"/>
    </xf>
    <xf numFmtId="9" fontId="45" fillId="7" borderId="84" xfId="0" applyNumberFormat="1" applyFont="1" applyFill="1" applyBorder="1" applyAlignment="1">
      <alignment horizontal="center" vertical="center"/>
    </xf>
    <xf numFmtId="10" fontId="0" fillId="7" borderId="36" xfId="2" applyNumberFormat="1" applyFont="1" applyFill="1" applyBorder="1"/>
    <xf numFmtId="10" fontId="0" fillId="7" borderId="24" xfId="2" applyNumberFormat="1" applyFont="1" applyFill="1" applyBorder="1"/>
    <xf numFmtId="181" fontId="0" fillId="0" borderId="0" xfId="0" applyNumberFormat="1"/>
    <xf numFmtId="180" fontId="0" fillId="0" borderId="0" xfId="2" applyNumberFormat="1" applyFont="1"/>
    <xf numFmtId="10" fontId="5" fillId="0" borderId="0" xfId="2" applyNumberFormat="1" applyFont="1"/>
    <xf numFmtId="0" fontId="5" fillId="7" borderId="68" xfId="0" applyFont="1" applyFill="1" applyBorder="1" applyAlignment="1">
      <alignment horizontal="center" vertical="center" wrapText="1"/>
    </xf>
    <xf numFmtId="3" fontId="5" fillId="3" borderId="16" xfId="0" applyNumberFormat="1" applyFont="1" applyFill="1" applyBorder="1"/>
    <xf numFmtId="0" fontId="20" fillId="0" borderId="0" xfId="4" applyFont="1" applyAlignment="1">
      <alignment horizontal="left" vertical="center" indent="2"/>
    </xf>
    <xf numFmtId="0" fontId="5" fillId="7" borderId="23" xfId="0" applyFont="1" applyFill="1" applyBorder="1" applyAlignment="1">
      <alignment horizontal="center"/>
    </xf>
    <xf numFmtId="0" fontId="5" fillId="7" borderId="36" xfId="0" applyFont="1" applyFill="1" applyBorder="1" applyAlignment="1">
      <alignment horizontal="center"/>
    </xf>
    <xf numFmtId="0" fontId="5" fillId="7" borderId="24" xfId="0" applyFont="1" applyFill="1" applyBorder="1" applyAlignment="1">
      <alignment horizontal="center"/>
    </xf>
    <xf numFmtId="0" fontId="0" fillId="0" borderId="71" xfId="0" applyBorder="1" applyAlignment="1">
      <alignment horizontal="center"/>
    </xf>
    <xf numFmtId="0" fontId="5" fillId="7" borderId="4" xfId="0" applyFont="1" applyFill="1" applyBorder="1" applyAlignment="1">
      <alignment horizontal="center"/>
    </xf>
    <xf numFmtId="0" fontId="5" fillId="7" borderId="5" xfId="0" applyFont="1" applyFill="1" applyBorder="1" applyAlignment="1">
      <alignment horizontal="center"/>
    </xf>
    <xf numFmtId="0" fontId="5" fillId="7" borderId="85" xfId="0" applyFont="1" applyFill="1" applyBorder="1" applyAlignment="1">
      <alignment horizontal="left" vertical="center"/>
    </xf>
    <xf numFmtId="0" fontId="0" fillId="0" borderId="60" xfId="0" applyBorder="1" applyAlignment="1">
      <alignment horizontal="left" vertical="center"/>
    </xf>
    <xf numFmtId="0" fontId="0" fillId="0" borderId="51" xfId="0" applyBorder="1" applyAlignment="1">
      <alignment horizontal="left" vertical="center"/>
    </xf>
    <xf numFmtId="0" fontId="5" fillId="13" borderId="0" xfId="0" applyFont="1" applyFill="1" applyAlignment="1">
      <alignment horizontal="center" vertical="center"/>
    </xf>
    <xf numFmtId="10" fontId="0" fillId="13" borderId="0" xfId="0" applyNumberFormat="1" applyFill="1" applyAlignment="1">
      <alignment horizontal="center" vertical="center"/>
    </xf>
    <xf numFmtId="2" fontId="0" fillId="13" borderId="0" xfId="0" applyNumberFormat="1" applyFill="1" applyAlignment="1">
      <alignment horizontal="center" vertical="center"/>
    </xf>
    <xf numFmtId="165" fontId="0" fillId="13" borderId="0" xfId="0" applyNumberFormat="1" applyFill="1" applyAlignment="1">
      <alignment horizontal="center" vertical="center"/>
    </xf>
    <xf numFmtId="172" fontId="0" fillId="13" borderId="0" xfId="0" applyNumberFormat="1" applyFill="1" applyAlignment="1">
      <alignment horizontal="center" vertical="center"/>
    </xf>
    <xf numFmtId="170" fontId="0" fillId="0" borderId="34" xfId="0" applyNumberFormat="1" applyBorder="1"/>
    <xf numFmtId="0" fontId="0" fillId="0" borderId="67" xfId="0" applyBorder="1" applyAlignment="1">
      <alignment horizontal="center"/>
    </xf>
    <xf numFmtId="1" fontId="0" fillId="0" borderId="48" xfId="0" applyNumberFormat="1" applyBorder="1" applyAlignment="1">
      <alignment horizontal="center"/>
    </xf>
    <xf numFmtId="1" fontId="0" fillId="0" borderId="55" xfId="0" applyNumberFormat="1" applyBorder="1" applyAlignment="1">
      <alignment horizontal="center"/>
    </xf>
    <xf numFmtId="170" fontId="0" fillId="0" borderId="52" xfId="0" applyNumberFormat="1" applyBorder="1"/>
    <xf numFmtId="170" fontId="0" fillId="0" borderId="63" xfId="0" applyNumberFormat="1" applyBorder="1"/>
    <xf numFmtId="170" fontId="5" fillId="0" borderId="52" xfId="0" applyNumberFormat="1" applyFont="1" applyBorder="1"/>
    <xf numFmtId="170" fontId="5" fillId="0" borderId="63" xfId="0" applyNumberFormat="1" applyFont="1" applyBorder="1"/>
    <xf numFmtId="0" fontId="7" fillId="4" borderId="49" xfId="0" applyFont="1" applyFill="1" applyBorder="1" applyAlignment="1">
      <alignment horizontal="center"/>
    </xf>
    <xf numFmtId="10" fontId="0" fillId="0" borderId="51" xfId="0" applyNumberFormat="1" applyBorder="1"/>
    <xf numFmtId="10" fontId="0" fillId="0" borderId="52" xfId="0" applyNumberFormat="1" applyBorder="1"/>
    <xf numFmtId="10" fontId="0" fillId="0" borderId="63" xfId="0" applyNumberFormat="1" applyBorder="1"/>
    <xf numFmtId="164" fontId="0" fillId="0" borderId="51" xfId="1" applyFont="1" applyBorder="1"/>
    <xf numFmtId="164" fontId="0" fillId="0" borderId="52" xfId="1" applyFont="1" applyBorder="1"/>
    <xf numFmtId="164" fontId="0" fillId="0" borderId="63" xfId="1" applyFont="1" applyBorder="1"/>
    <xf numFmtId="0" fontId="0" fillId="0" borderId="37" xfId="0" applyBorder="1"/>
    <xf numFmtId="0" fontId="0" fillId="0" borderId="38" xfId="0" applyBorder="1"/>
    <xf numFmtId="0" fontId="0" fillId="0" borderId="39" xfId="0" applyBorder="1"/>
    <xf numFmtId="0" fontId="46" fillId="0" borderId="0" xfId="0" applyFont="1" applyAlignment="1">
      <alignment horizontal="center"/>
    </xf>
    <xf numFmtId="0" fontId="46" fillId="0" borderId="0" xfId="0" applyFont="1"/>
    <xf numFmtId="0" fontId="47" fillId="0" borderId="0" xfId="0" applyFont="1" applyAlignment="1">
      <alignment horizontal="center"/>
    </xf>
    <xf numFmtId="164" fontId="0" fillId="0" borderId="34" xfId="1" applyFont="1" applyBorder="1"/>
    <xf numFmtId="164" fontId="0" fillId="0" borderId="49" xfId="1" applyFont="1" applyBorder="1"/>
    <xf numFmtId="164" fontId="0" fillId="0" borderId="50" xfId="1" applyFont="1" applyBorder="1"/>
    <xf numFmtId="170" fontId="0" fillId="0" borderId="51" xfId="0" applyNumberFormat="1" applyBorder="1"/>
    <xf numFmtId="0" fontId="0" fillId="0" borderId="0" xfId="0" applyAlignment="1">
      <alignment vertical="center"/>
    </xf>
    <xf numFmtId="0" fontId="0" fillId="0" borderId="40" xfId="0" applyBorder="1" applyAlignment="1">
      <alignment vertical="center"/>
    </xf>
    <xf numFmtId="0" fontId="47" fillId="0" borderId="87" xfId="0" applyFont="1" applyBorder="1" applyAlignment="1">
      <alignment horizontal="center" vertical="center"/>
    </xf>
    <xf numFmtId="0" fontId="0" fillId="0" borderId="41" xfId="0" applyBorder="1" applyAlignment="1">
      <alignment vertical="center"/>
    </xf>
    <xf numFmtId="3" fontId="13" fillId="0" borderId="0" xfId="0" applyNumberFormat="1" applyFont="1" applyAlignment="1">
      <alignment horizontal="center"/>
    </xf>
    <xf numFmtId="164" fontId="0" fillId="0" borderId="51" xfId="1" applyFont="1" applyBorder="1" applyAlignment="1">
      <alignment horizontal="center"/>
    </xf>
    <xf numFmtId="164" fontId="0" fillId="0" borderId="63" xfId="1" applyFont="1" applyBorder="1" applyAlignment="1">
      <alignment horizontal="center"/>
    </xf>
    <xf numFmtId="166" fontId="0" fillId="13" borderId="0" xfId="0" applyNumberFormat="1" applyFill="1"/>
    <xf numFmtId="2" fontId="0" fillId="3" borderId="8" xfId="0" applyNumberFormat="1" applyFill="1" applyBorder="1" applyAlignment="1">
      <alignment horizontal="center"/>
    </xf>
    <xf numFmtId="0" fontId="7" fillId="4" borderId="71" xfId="0" applyFont="1" applyFill="1" applyBorder="1" applyAlignment="1">
      <alignment horizontal="center"/>
    </xf>
    <xf numFmtId="0" fontId="7" fillId="4" borderId="64" xfId="0" applyFont="1" applyFill="1" applyBorder="1" applyAlignment="1">
      <alignment horizontal="center"/>
    </xf>
    <xf numFmtId="0" fontId="7" fillId="4" borderId="72" xfId="0" applyFont="1" applyFill="1" applyBorder="1" applyAlignment="1">
      <alignment horizontal="center"/>
    </xf>
    <xf numFmtId="0" fontId="5" fillId="7" borderId="0" xfId="0" applyFont="1" applyFill="1" applyAlignment="1">
      <alignment horizontal="center"/>
    </xf>
    <xf numFmtId="175" fontId="0" fillId="13" borderId="0" xfId="0" applyNumberFormat="1" applyFill="1"/>
    <xf numFmtId="2" fontId="0" fillId="13" borderId="0" xfId="0" applyNumberFormat="1" applyFill="1"/>
    <xf numFmtId="174" fontId="0" fillId="13" borderId="0" xfId="0" applyNumberFormat="1" applyFill="1"/>
    <xf numFmtId="174" fontId="16" fillId="13" borderId="0" xfId="0" applyNumberFormat="1" applyFont="1" applyFill="1"/>
    <xf numFmtId="9" fontId="17" fillId="13" borderId="0" xfId="0" applyNumberFormat="1" applyFont="1" applyFill="1"/>
    <xf numFmtId="9" fontId="17" fillId="13" borderId="0" xfId="2" applyFont="1" applyFill="1" applyBorder="1"/>
    <xf numFmtId="9" fontId="0" fillId="13" borderId="0" xfId="2" applyFont="1" applyFill="1"/>
    <xf numFmtId="164" fontId="0" fillId="13" borderId="0" xfId="0" applyNumberFormat="1" applyFill="1"/>
    <xf numFmtId="10" fontId="0" fillId="0" borderId="70" xfId="2" applyNumberFormat="1" applyFont="1" applyBorder="1"/>
    <xf numFmtId="0" fontId="0" fillId="7" borderId="68" xfId="0" applyFill="1" applyBorder="1"/>
    <xf numFmtId="9" fontId="0" fillId="13" borderId="0" xfId="0" applyNumberFormat="1" applyFill="1"/>
    <xf numFmtId="0" fontId="0" fillId="0" borderId="49" xfId="0" applyBorder="1" applyAlignment="1">
      <alignment wrapText="1"/>
    </xf>
    <xf numFmtId="10" fontId="5" fillId="0" borderId="52" xfId="0" applyNumberFormat="1" applyFont="1" applyBorder="1"/>
    <xf numFmtId="10" fontId="0" fillId="16" borderId="73" xfId="0" applyNumberFormat="1" applyFill="1" applyBorder="1"/>
    <xf numFmtId="10" fontId="0" fillId="16" borderId="58" xfId="0" applyNumberFormat="1" applyFill="1" applyBorder="1"/>
    <xf numFmtId="10" fontId="0" fillId="16" borderId="74" xfId="0" applyNumberFormat="1" applyFill="1" applyBorder="1"/>
    <xf numFmtId="165" fontId="0" fillId="13" borderId="0" xfId="2" applyNumberFormat="1" applyFont="1" applyFill="1"/>
    <xf numFmtId="181" fontId="0" fillId="13" borderId="0" xfId="0" applyNumberFormat="1" applyFill="1"/>
    <xf numFmtId="0" fontId="0" fillId="0" borderId="88" xfId="0" applyBorder="1" applyAlignment="1">
      <alignment horizontal="center" vertical="center"/>
    </xf>
    <xf numFmtId="0" fontId="0" fillId="12" borderId="89" xfId="0" applyFill="1" applyBorder="1" applyAlignment="1">
      <alignment horizontal="center" vertical="center"/>
    </xf>
    <xf numFmtId="3" fontId="0" fillId="0" borderId="89" xfId="0" applyNumberFormat="1" applyBorder="1" applyAlignment="1">
      <alignment horizontal="center" vertical="center"/>
    </xf>
    <xf numFmtId="1" fontId="0" fillId="0" borderId="89" xfId="0" applyNumberFormat="1" applyBorder="1" applyAlignment="1">
      <alignment horizontal="center" vertical="center"/>
    </xf>
    <xf numFmtId="10" fontId="0" fillId="0" borderId="89" xfId="0" applyNumberFormat="1" applyBorder="1" applyAlignment="1">
      <alignment horizontal="center" vertical="center"/>
    </xf>
    <xf numFmtId="10" fontId="0" fillId="0" borderId="89" xfId="2" applyNumberFormat="1" applyFont="1" applyBorder="1"/>
    <xf numFmtId="0" fontId="0" fillId="13" borderId="45" xfId="0" applyFill="1" applyBorder="1"/>
    <xf numFmtId="182" fontId="6" fillId="13" borderId="0" xfId="0" applyNumberFormat="1" applyFont="1" applyFill="1"/>
    <xf numFmtId="9" fontId="0" fillId="0" borderId="31" xfId="2" applyFont="1" applyFill="1" applyBorder="1"/>
    <xf numFmtId="9" fontId="0" fillId="0" borderId="32" xfId="2" applyFont="1" applyFill="1" applyBorder="1"/>
    <xf numFmtId="9" fontId="17" fillId="0" borderId="27" xfId="2" applyFont="1" applyFill="1" applyBorder="1"/>
    <xf numFmtId="165" fontId="0" fillId="0" borderId="50" xfId="0" applyNumberFormat="1" applyBorder="1" applyAlignment="1">
      <alignment horizontal="center" vertical="center"/>
    </xf>
    <xf numFmtId="0" fontId="5" fillId="0" borderId="51" xfId="0" applyFont="1" applyBorder="1" applyAlignment="1">
      <alignment horizontal="left" vertical="center"/>
    </xf>
    <xf numFmtId="10" fontId="5" fillId="0" borderId="63" xfId="2" applyNumberFormat="1" applyFont="1" applyFill="1" applyBorder="1" applyAlignment="1">
      <alignment horizontal="center" vertical="center"/>
    </xf>
    <xf numFmtId="10" fontId="5" fillId="0" borderId="0" xfId="2" applyNumberFormat="1" applyFont="1" applyFill="1" applyAlignment="1">
      <alignment horizontal="center" vertical="center"/>
    </xf>
    <xf numFmtId="3" fontId="5" fillId="0" borderId="16" xfId="0" applyNumberFormat="1" applyFont="1" applyBorder="1"/>
    <xf numFmtId="3" fontId="0" fillId="0" borderId="19" xfId="0" applyNumberFormat="1" applyBorder="1"/>
    <xf numFmtId="0" fontId="0" fillId="26" borderId="0" xfId="0" applyFill="1"/>
    <xf numFmtId="0" fontId="48" fillId="0" borderId="0" xfId="0" applyFont="1" applyAlignment="1">
      <alignment horizontal="center"/>
    </xf>
    <xf numFmtId="0" fontId="46" fillId="0" borderId="0" xfId="0" applyFont="1" applyAlignment="1">
      <alignment horizontal="center"/>
    </xf>
    <xf numFmtId="0" fontId="46" fillId="0" borderId="0" xfId="0" applyFont="1" applyAlignment="1">
      <alignment horizontal="center" vertical="center" wrapText="1"/>
    </xf>
    <xf numFmtId="0" fontId="47" fillId="0" borderId="0" xfId="0" applyFont="1" applyAlignment="1">
      <alignment horizontal="center"/>
    </xf>
    <xf numFmtId="0" fontId="5" fillId="22" borderId="23" xfId="0" applyFont="1" applyFill="1" applyBorder="1" applyAlignment="1">
      <alignment horizontal="center"/>
    </xf>
    <xf numFmtId="0" fontId="5" fillId="22" borderId="36" xfId="0" applyFont="1" applyFill="1" applyBorder="1" applyAlignment="1">
      <alignment horizontal="center"/>
    </xf>
    <xf numFmtId="0" fontId="5" fillId="22" borderId="24" xfId="0" applyFont="1" applyFill="1" applyBorder="1" applyAlignment="1">
      <alignment horizontal="center"/>
    </xf>
    <xf numFmtId="0" fontId="5" fillId="22" borderId="21" xfId="0" applyFont="1" applyFill="1" applyBorder="1" applyAlignment="1">
      <alignment horizontal="center"/>
    </xf>
    <xf numFmtId="0" fontId="5" fillId="22" borderId="54" xfId="0" applyFont="1" applyFill="1" applyBorder="1" applyAlignment="1">
      <alignment horizontal="center"/>
    </xf>
    <xf numFmtId="0" fontId="5" fillId="22" borderId="22" xfId="0" applyFont="1" applyFill="1" applyBorder="1" applyAlignment="1">
      <alignment horizontal="center"/>
    </xf>
    <xf numFmtId="2" fontId="5" fillId="22" borderId="21" xfId="0" applyNumberFormat="1" applyFont="1" applyFill="1" applyBorder="1" applyAlignment="1">
      <alignment horizontal="center"/>
    </xf>
    <xf numFmtId="2" fontId="5" fillId="22" borderId="54" xfId="0" applyNumberFormat="1" applyFont="1" applyFill="1" applyBorder="1" applyAlignment="1">
      <alignment horizontal="center"/>
    </xf>
    <xf numFmtId="2" fontId="5" fillId="22" borderId="22" xfId="0" applyNumberFormat="1" applyFont="1" applyFill="1" applyBorder="1" applyAlignment="1">
      <alignment horizontal="center"/>
    </xf>
    <xf numFmtId="0" fontId="5" fillId="21" borderId="1" xfId="0" applyFont="1" applyFill="1" applyBorder="1" applyAlignment="1">
      <alignment horizontal="center"/>
    </xf>
    <xf numFmtId="0" fontId="5" fillId="21" borderId="2" xfId="0" applyFont="1" applyFill="1" applyBorder="1" applyAlignment="1">
      <alignment horizontal="center"/>
    </xf>
    <xf numFmtId="0" fontId="5" fillId="21" borderId="3" xfId="0" applyFont="1" applyFill="1" applyBorder="1" applyAlignment="1">
      <alignment horizontal="center"/>
    </xf>
    <xf numFmtId="0" fontId="5" fillId="22" borderId="4" xfId="0" applyFont="1" applyFill="1" applyBorder="1" applyAlignment="1">
      <alignment horizontal="center"/>
    </xf>
    <xf numFmtId="0" fontId="5" fillId="22" borderId="0" xfId="0" applyFont="1" applyFill="1" applyAlignment="1">
      <alignment horizontal="center"/>
    </xf>
    <xf numFmtId="0" fontId="5" fillId="22" borderId="5" xfId="0" applyFont="1" applyFill="1" applyBorder="1" applyAlignment="1">
      <alignment horizontal="center"/>
    </xf>
    <xf numFmtId="0" fontId="5" fillId="0" borderId="57" xfId="0" applyFont="1" applyBorder="1" applyAlignment="1">
      <alignment horizontal="center"/>
    </xf>
    <xf numFmtId="0" fontId="5" fillId="0" borderId="58" xfId="0" applyFont="1" applyBorder="1" applyAlignment="1">
      <alignment horizontal="center"/>
    </xf>
    <xf numFmtId="0" fontId="5" fillId="0" borderId="74" xfId="0" applyFont="1" applyBorder="1" applyAlignment="1">
      <alignment horizontal="center"/>
    </xf>
    <xf numFmtId="0" fontId="5" fillId="12" borderId="0" xfId="0" applyFont="1" applyFill="1" applyAlignment="1">
      <alignment horizontal="center"/>
    </xf>
    <xf numFmtId="0" fontId="5" fillId="12" borderId="28" xfId="0" applyFont="1" applyFill="1" applyBorder="1" applyAlignment="1">
      <alignment horizontal="center"/>
    </xf>
    <xf numFmtId="0" fontId="5" fillId="7" borderId="21" xfId="0" applyFont="1" applyFill="1" applyBorder="1" applyAlignment="1">
      <alignment horizontal="center"/>
    </xf>
    <xf numFmtId="0" fontId="5" fillId="7" borderId="54" xfId="0" applyFont="1" applyFill="1" applyBorder="1" applyAlignment="1">
      <alignment horizontal="center"/>
    </xf>
    <xf numFmtId="0" fontId="5" fillId="7" borderId="22" xfId="0" applyFont="1" applyFill="1" applyBorder="1" applyAlignment="1">
      <alignment horizontal="center"/>
    </xf>
    <xf numFmtId="0" fontId="5" fillId="0" borderId="54" xfId="0" applyFont="1" applyBorder="1" applyAlignment="1">
      <alignment horizontal="center"/>
    </xf>
    <xf numFmtId="0" fontId="5" fillId="11" borderId="23" xfId="0" applyFont="1" applyFill="1" applyBorder="1" applyAlignment="1">
      <alignment horizontal="center"/>
    </xf>
    <xf numFmtId="0" fontId="5" fillId="11" borderId="36" xfId="0" applyFont="1" applyFill="1" applyBorder="1" applyAlignment="1">
      <alignment horizontal="center"/>
    </xf>
    <xf numFmtId="0" fontId="5" fillId="11" borderId="24" xfId="0" applyFont="1" applyFill="1" applyBorder="1" applyAlignment="1">
      <alignment horizontal="center"/>
    </xf>
    <xf numFmtId="0" fontId="5" fillId="11" borderId="68" xfId="0" applyFont="1" applyFill="1" applyBorder="1" applyAlignment="1">
      <alignment horizontal="center" vertical="center"/>
    </xf>
    <xf numFmtId="0" fontId="5" fillId="11" borderId="69" xfId="0" applyFont="1" applyFill="1" applyBorder="1" applyAlignment="1">
      <alignment horizontal="center" vertical="center"/>
    </xf>
    <xf numFmtId="0" fontId="5" fillId="11" borderId="21" xfId="0" applyFont="1" applyFill="1" applyBorder="1" applyAlignment="1">
      <alignment horizontal="center"/>
    </xf>
    <xf numFmtId="0" fontId="5" fillId="11" borderId="54" xfId="0" applyFont="1" applyFill="1" applyBorder="1" applyAlignment="1">
      <alignment horizontal="center"/>
    </xf>
    <xf numFmtId="0" fontId="5" fillId="11" borderId="22" xfId="0" applyFont="1" applyFill="1" applyBorder="1" applyAlignment="1">
      <alignment horizontal="center"/>
    </xf>
    <xf numFmtId="0" fontId="5" fillId="11" borderId="1" xfId="0" applyFont="1" applyFill="1" applyBorder="1" applyAlignment="1">
      <alignment horizontal="center"/>
    </xf>
    <xf numFmtId="0" fontId="5" fillId="11" borderId="2" xfId="0" applyFont="1" applyFill="1" applyBorder="1" applyAlignment="1">
      <alignment horizontal="center"/>
    </xf>
    <xf numFmtId="0" fontId="5" fillId="11" borderId="3" xfId="0" applyFont="1" applyFill="1" applyBorder="1" applyAlignment="1">
      <alignment horizontal="center"/>
    </xf>
    <xf numFmtId="0" fontId="0" fillId="12" borderId="0" xfId="0" applyFill="1" applyAlignment="1">
      <alignment horizontal="center" vertical="center" wrapText="1"/>
    </xf>
    <xf numFmtId="0" fontId="25" fillId="7" borderId="45" xfId="4" applyFont="1" applyFill="1" applyBorder="1" applyAlignment="1">
      <alignment horizontal="center" vertical="center" wrapText="1"/>
    </xf>
    <xf numFmtId="0" fontId="25" fillId="7" borderId="32" xfId="4" applyFont="1" applyFill="1" applyBorder="1" applyAlignment="1">
      <alignment horizontal="center" vertical="center" wrapText="1"/>
    </xf>
    <xf numFmtId="0" fontId="25" fillId="7" borderId="57" xfId="4" applyFont="1" applyFill="1" applyBorder="1" applyAlignment="1">
      <alignment horizontal="center" vertical="center" wrapText="1"/>
    </xf>
    <xf numFmtId="0" fontId="25" fillId="7" borderId="58" xfId="4" applyFont="1" applyFill="1" applyBorder="1" applyAlignment="1">
      <alignment horizontal="center" vertical="center" wrapText="1"/>
    </xf>
    <xf numFmtId="0" fontId="5" fillId="7" borderId="23" xfId="0" applyFont="1" applyFill="1" applyBorder="1" applyAlignment="1">
      <alignment horizontal="center"/>
    </xf>
    <xf numFmtId="0" fontId="5" fillId="7" borderId="36" xfId="0" applyFont="1" applyFill="1" applyBorder="1" applyAlignment="1">
      <alignment horizontal="center"/>
    </xf>
    <xf numFmtId="0" fontId="5" fillId="7" borderId="24" xfId="0" applyFont="1" applyFill="1" applyBorder="1" applyAlignment="1">
      <alignment horizontal="center"/>
    </xf>
    <xf numFmtId="0" fontId="25" fillId="7" borderId="76" xfId="4" applyFont="1" applyFill="1" applyBorder="1" applyAlignment="1">
      <alignment horizontal="center" vertical="center" wrapText="1"/>
    </xf>
    <xf numFmtId="0" fontId="25" fillId="7" borderId="35" xfId="4" applyFont="1" applyFill="1" applyBorder="1" applyAlignment="1">
      <alignment horizontal="center" vertical="center" wrapText="1"/>
    </xf>
    <xf numFmtId="0" fontId="25" fillId="7" borderId="26" xfId="4" applyFont="1" applyFill="1" applyBorder="1" applyAlignment="1">
      <alignment horizontal="center" vertical="center" wrapText="1"/>
    </xf>
    <xf numFmtId="0" fontId="42" fillId="0" borderId="23" xfId="4" applyFont="1" applyFill="1" applyBorder="1" applyAlignment="1">
      <alignment horizontal="center" vertical="center"/>
    </xf>
    <xf numFmtId="0" fontId="42" fillId="0" borderId="36" xfId="4" applyFont="1" applyFill="1" applyBorder="1" applyAlignment="1">
      <alignment horizontal="center" vertical="center"/>
    </xf>
    <xf numFmtId="0" fontId="42" fillId="7" borderId="36" xfId="4" applyFont="1" applyFill="1" applyBorder="1" applyAlignment="1">
      <alignment horizontal="center" vertical="center"/>
    </xf>
    <xf numFmtId="0" fontId="42" fillId="7" borderId="24" xfId="4" applyFont="1" applyFill="1" applyBorder="1" applyAlignment="1">
      <alignment horizontal="center" vertical="center"/>
    </xf>
    <xf numFmtId="0" fontId="0" fillId="11" borderId="1" xfId="0" applyFill="1" applyBorder="1" applyAlignment="1">
      <alignment horizontal="center"/>
    </xf>
    <xf numFmtId="0" fontId="0" fillId="11" borderId="2" xfId="0" applyFill="1" applyBorder="1" applyAlignment="1">
      <alignment horizontal="center"/>
    </xf>
    <xf numFmtId="0" fontId="0" fillId="11" borderId="3" xfId="0" applyFill="1" applyBorder="1" applyAlignment="1">
      <alignment horizontal="center"/>
    </xf>
    <xf numFmtId="0" fontId="29" fillId="7" borderId="23" xfId="0" applyFont="1" applyFill="1" applyBorder="1" applyAlignment="1">
      <alignment horizontal="center"/>
    </xf>
    <xf numFmtId="0" fontId="29" fillId="7" borderId="36" xfId="0" applyFont="1" applyFill="1" applyBorder="1" applyAlignment="1">
      <alignment horizontal="center"/>
    </xf>
    <xf numFmtId="0" fontId="29" fillId="7" borderId="24" xfId="0" applyFont="1" applyFill="1" applyBorder="1" applyAlignment="1">
      <alignment horizontal="center"/>
    </xf>
    <xf numFmtId="0" fontId="5" fillId="13" borderId="4" xfId="0" applyFont="1" applyFill="1" applyBorder="1" applyAlignment="1">
      <alignment horizontal="center" vertical="center"/>
    </xf>
    <xf numFmtId="0" fontId="5" fillId="0" borderId="4" xfId="0" applyFont="1" applyBorder="1" applyAlignment="1">
      <alignment horizontal="center" vertical="center"/>
    </xf>
    <xf numFmtId="0" fontId="5" fillId="13" borderId="6" xfId="0" applyFont="1" applyFill="1" applyBorder="1" applyAlignment="1">
      <alignment horizontal="center" vertical="center"/>
    </xf>
    <xf numFmtId="0" fontId="5" fillId="13" borderId="1" xfId="0" applyFont="1" applyFill="1" applyBorder="1" applyAlignment="1">
      <alignment horizontal="center" vertical="center" wrapText="1"/>
    </xf>
    <xf numFmtId="0" fontId="5" fillId="13" borderId="4" xfId="0" applyFont="1" applyFill="1" applyBorder="1" applyAlignment="1">
      <alignment horizontal="center" vertical="center" wrapText="1"/>
    </xf>
    <xf numFmtId="0" fontId="5" fillId="13" borderId="6"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5" fillId="21" borderId="4" xfId="0" applyFont="1" applyFill="1" applyBorder="1" applyAlignment="1">
      <alignment horizontal="center"/>
    </xf>
    <xf numFmtId="0" fontId="5" fillId="21" borderId="0" xfId="0" applyFont="1" applyFill="1" applyAlignment="1">
      <alignment horizontal="center"/>
    </xf>
    <xf numFmtId="0" fontId="5" fillId="21" borderId="5" xfId="0" applyFont="1" applyFill="1" applyBorder="1" applyAlignment="1">
      <alignment horizontal="center"/>
    </xf>
    <xf numFmtId="0" fontId="5" fillId="21" borderId="76" xfId="0" applyFont="1" applyFill="1" applyBorder="1" applyAlignment="1">
      <alignment horizontal="center"/>
    </xf>
    <xf numFmtId="0" fontId="5" fillId="21" borderId="35" xfId="0" applyFont="1" applyFill="1" applyBorder="1" applyAlignment="1">
      <alignment horizontal="center"/>
    </xf>
    <xf numFmtId="0" fontId="5" fillId="21" borderId="56" xfId="0" applyFont="1" applyFill="1" applyBorder="1" applyAlignment="1">
      <alignment horizontal="center"/>
    </xf>
    <xf numFmtId="0" fontId="5" fillId="21" borderId="60" xfId="0" applyFont="1" applyFill="1" applyBorder="1" applyAlignment="1">
      <alignment horizontal="center"/>
    </xf>
    <xf numFmtId="0" fontId="5" fillId="21" borderId="62" xfId="0" applyFont="1" applyFill="1" applyBorder="1" applyAlignment="1">
      <alignment horizontal="center"/>
    </xf>
    <xf numFmtId="0" fontId="5" fillId="21" borderId="11" xfId="0" applyFont="1" applyFill="1" applyBorder="1" applyAlignment="1">
      <alignment horizontal="center"/>
    </xf>
    <xf numFmtId="0" fontId="5" fillId="21" borderId="10" xfId="0" applyFont="1" applyFill="1" applyBorder="1" applyAlignment="1">
      <alignment horizontal="center"/>
    </xf>
    <xf numFmtId="0" fontId="5" fillId="21" borderId="12" xfId="0" applyFont="1" applyFill="1" applyBorder="1" applyAlignment="1">
      <alignment horizontal="center"/>
    </xf>
    <xf numFmtId="0" fontId="5" fillId="21" borderId="21" xfId="0" applyFont="1" applyFill="1" applyBorder="1" applyAlignment="1">
      <alignment horizontal="center"/>
    </xf>
    <xf numFmtId="0" fontId="5" fillId="21" borderId="54" xfId="0" applyFont="1" applyFill="1" applyBorder="1" applyAlignment="1">
      <alignment horizontal="center"/>
    </xf>
    <xf numFmtId="0" fontId="5" fillId="21" borderId="22" xfId="0" applyFont="1" applyFill="1" applyBorder="1" applyAlignment="1">
      <alignment horizontal="center"/>
    </xf>
    <xf numFmtId="0" fontId="5" fillId="0" borderId="1" xfId="0" applyFont="1" applyBorder="1" applyAlignment="1">
      <alignment horizontal="center"/>
    </xf>
    <xf numFmtId="0" fontId="5" fillId="0" borderId="3" xfId="0" applyFont="1" applyBorder="1" applyAlignment="1">
      <alignment horizontal="center"/>
    </xf>
    <xf numFmtId="0" fontId="26" fillId="22" borderId="23" xfId="0" applyFont="1" applyFill="1" applyBorder="1" applyAlignment="1">
      <alignment horizontal="center"/>
    </xf>
    <xf numFmtId="0" fontId="26" fillId="22" borderId="36" xfId="0" applyFont="1" applyFill="1" applyBorder="1" applyAlignment="1">
      <alignment horizontal="center"/>
    </xf>
    <xf numFmtId="0" fontId="26" fillId="22" borderId="24" xfId="0" applyFont="1" applyFill="1" applyBorder="1" applyAlignment="1">
      <alignment horizontal="center"/>
    </xf>
    <xf numFmtId="0" fontId="5" fillId="22" borderId="1" xfId="0" applyFont="1" applyFill="1" applyBorder="1" applyAlignment="1">
      <alignment horizontal="center"/>
    </xf>
    <xf numFmtId="0" fontId="5" fillId="22" borderId="3" xfId="0" applyFont="1" applyFill="1" applyBorder="1" applyAlignment="1">
      <alignment horizontal="center"/>
    </xf>
    <xf numFmtId="0" fontId="5" fillId="7" borderId="23" xfId="0" applyFont="1" applyFill="1" applyBorder="1" applyAlignment="1">
      <alignment horizontal="center" vertical="center"/>
    </xf>
    <xf numFmtId="0" fontId="5" fillId="7" borderId="16" xfId="0" applyFont="1" applyFill="1" applyBorder="1" applyAlignment="1">
      <alignment horizontal="center" vertical="center"/>
    </xf>
    <xf numFmtId="3" fontId="0" fillId="0" borderId="77" xfId="0" applyNumberFormat="1" applyBorder="1" applyAlignment="1">
      <alignment horizontal="center" vertical="center"/>
    </xf>
    <xf numFmtId="3" fontId="0" fillId="0" borderId="22" xfId="0" applyNumberFormat="1" applyBorder="1" applyAlignment="1">
      <alignment horizontal="center" vertical="center"/>
    </xf>
    <xf numFmtId="0" fontId="0" fillId="0" borderId="25" xfId="0" applyBorder="1" applyAlignment="1">
      <alignment horizontal="center" vertical="center"/>
    </xf>
    <xf numFmtId="0" fontId="0" fillId="0" borderId="56" xfId="0" applyBorder="1" applyAlignment="1">
      <alignment horizontal="center" vertical="center"/>
    </xf>
    <xf numFmtId="3" fontId="0" fillId="0" borderId="73" xfId="0" applyNumberFormat="1" applyBorder="1" applyAlignment="1">
      <alignment horizontal="center" vertical="center"/>
    </xf>
    <xf numFmtId="3" fontId="0" fillId="0" borderId="59" xfId="0" applyNumberFormat="1" applyBorder="1" applyAlignment="1">
      <alignment horizontal="center" vertical="center"/>
    </xf>
    <xf numFmtId="10" fontId="5" fillId="7" borderId="86" xfId="2" applyNumberFormat="1" applyFont="1" applyFill="1" applyBorder="1" applyAlignment="1">
      <alignment horizontal="center" vertical="center"/>
    </xf>
    <xf numFmtId="10" fontId="5" fillId="7" borderId="24" xfId="2" applyNumberFormat="1" applyFont="1" applyFill="1" applyBorder="1" applyAlignment="1">
      <alignment horizontal="center" vertical="center"/>
    </xf>
    <xf numFmtId="0" fontId="5" fillId="7" borderId="16" xfId="0" applyFont="1" applyFill="1" applyBorder="1" applyAlignment="1">
      <alignment horizontal="center"/>
    </xf>
    <xf numFmtId="0" fontId="5" fillId="7" borderId="36" xfId="0" applyFont="1" applyFill="1" applyBorder="1" applyAlignment="1">
      <alignment horizontal="center" vertical="center"/>
    </xf>
    <xf numFmtId="0" fontId="5" fillId="7" borderId="24" xfId="0" applyFont="1" applyFill="1" applyBorder="1" applyAlignment="1">
      <alignment horizontal="center" vertical="center"/>
    </xf>
    <xf numFmtId="0" fontId="15" fillId="0" borderId="0" xfId="0" applyFont="1" applyAlignment="1">
      <alignment horizontal="center" vertical="center" wrapText="1"/>
    </xf>
    <xf numFmtId="0" fontId="0" fillId="7" borderId="2" xfId="0" applyFill="1" applyBorder="1" applyAlignment="1">
      <alignment horizontal="center"/>
    </xf>
    <xf numFmtId="0" fontId="0" fillId="7" borderId="0" xfId="0" applyFill="1" applyAlignment="1">
      <alignment horizontal="center"/>
    </xf>
    <xf numFmtId="0" fontId="0" fillId="12" borderId="2" xfId="0" applyFill="1" applyBorder="1" applyAlignment="1">
      <alignment horizontal="center"/>
    </xf>
    <xf numFmtId="0" fontId="0" fillId="12" borderId="3" xfId="0" applyFill="1" applyBorder="1" applyAlignment="1">
      <alignment horizontal="center"/>
    </xf>
    <xf numFmtId="9" fontId="0" fillId="0" borderId="0" xfId="2" applyFont="1" applyAlignment="1">
      <alignment horizontal="center"/>
    </xf>
    <xf numFmtId="9" fontId="0" fillId="0" borderId="4" xfId="2" applyFont="1" applyBorder="1" applyAlignment="1">
      <alignment horizontal="center"/>
    </xf>
    <xf numFmtId="164" fontId="0" fillId="0" borderId="0" xfId="1" applyFont="1" applyAlignment="1">
      <alignment horizontal="center"/>
    </xf>
    <xf numFmtId="164" fontId="0" fillId="0" borderId="4" xfId="1" applyFont="1" applyBorder="1" applyAlignment="1">
      <alignment horizontal="center"/>
    </xf>
    <xf numFmtId="164" fontId="0" fillId="0" borderId="5" xfId="1" applyFont="1" applyBorder="1" applyAlignment="1">
      <alignment horizontal="center"/>
    </xf>
    <xf numFmtId="164" fontId="1" fillId="0" borderId="0" xfId="1" applyFont="1" applyAlignment="1">
      <alignment horizontal="center"/>
    </xf>
    <xf numFmtId="164" fontId="13" fillId="0" borderId="0" xfId="1" applyFont="1" applyAlignment="1">
      <alignment horizontal="center"/>
    </xf>
    <xf numFmtId="0" fontId="0" fillId="27" borderId="0" xfId="0" applyFill="1"/>
    <xf numFmtId="0" fontId="0" fillId="0" borderId="0" xfId="0" applyFill="1"/>
    <xf numFmtId="0" fontId="0" fillId="0" borderId="0" xfId="0" applyFill="1" applyAlignment="1">
      <alignment horizontal="center"/>
    </xf>
    <xf numFmtId="3" fontId="10" fillId="0" borderId="0" xfId="0" applyNumberFormat="1" applyFont="1" applyFill="1" applyAlignment="1">
      <alignment horizontal="center"/>
    </xf>
    <xf numFmtId="0" fontId="0" fillId="0" borderId="9" xfId="0" applyFill="1" applyBorder="1" applyAlignment="1">
      <alignment horizontal="left"/>
    </xf>
    <xf numFmtId="3" fontId="10" fillId="0" borderId="4" xfId="0" applyNumberFormat="1" applyFont="1" applyFill="1" applyBorder="1" applyAlignment="1">
      <alignment horizontal="center"/>
    </xf>
    <xf numFmtId="3" fontId="0" fillId="0" borderId="0" xfId="0" applyNumberFormat="1" applyFill="1" applyAlignment="1">
      <alignment horizontal="center"/>
    </xf>
    <xf numFmtId="3" fontId="0" fillId="0" borderId="5" xfId="0" applyNumberFormat="1" applyFill="1" applyBorder="1" applyAlignment="1">
      <alignment horizontal="center"/>
    </xf>
    <xf numFmtId="0" fontId="0" fillId="0" borderId="17" xfId="0" applyFill="1" applyBorder="1" applyAlignment="1">
      <alignment horizontal="left"/>
    </xf>
    <xf numFmtId="3" fontId="10" fillId="0" borderId="10" xfId="0" applyNumberFormat="1" applyFont="1" applyFill="1" applyBorder="1" applyAlignment="1">
      <alignment horizontal="center"/>
    </xf>
    <xf numFmtId="3" fontId="10" fillId="0" borderId="11" xfId="0" applyNumberFormat="1" applyFont="1" applyFill="1" applyBorder="1" applyAlignment="1">
      <alignment horizontal="center"/>
    </xf>
    <xf numFmtId="3" fontId="0" fillId="0" borderId="10" xfId="0" applyNumberFormat="1" applyFill="1" applyBorder="1" applyAlignment="1">
      <alignment horizontal="center"/>
    </xf>
    <xf numFmtId="3" fontId="0" fillId="0" borderId="12" xfId="0" applyNumberFormat="1" applyFill="1" applyBorder="1" applyAlignment="1">
      <alignment horizontal="center"/>
    </xf>
    <xf numFmtId="0" fontId="5" fillId="0" borderId="9" xfId="0" applyFont="1" applyFill="1" applyBorder="1" applyAlignment="1">
      <alignment horizontal="left"/>
    </xf>
    <xf numFmtId="169" fontId="5" fillId="0" borderId="0" xfId="0" applyNumberFormat="1" applyFont="1" applyFill="1" applyAlignment="1">
      <alignment horizontal="center"/>
    </xf>
    <xf numFmtId="169" fontId="5" fillId="0" borderId="4" xfId="0" applyNumberFormat="1" applyFont="1" applyFill="1" applyBorder="1" applyAlignment="1">
      <alignment horizontal="center"/>
    </xf>
    <xf numFmtId="169" fontId="5" fillId="0" borderId="5" xfId="0" applyNumberFormat="1" applyFont="1" applyFill="1" applyBorder="1" applyAlignment="1">
      <alignment horizontal="center"/>
    </xf>
    <xf numFmtId="3" fontId="0" fillId="0" borderId="4" xfId="0" applyNumberFormat="1" applyFill="1" applyBorder="1" applyAlignment="1">
      <alignment horizontal="center"/>
    </xf>
    <xf numFmtId="0" fontId="5" fillId="0" borderId="17" xfId="0" applyFont="1" applyFill="1" applyBorder="1" applyAlignment="1">
      <alignment horizontal="left"/>
    </xf>
    <xf numFmtId="169" fontId="5" fillId="0" borderId="10" xfId="0" applyNumberFormat="1" applyFont="1" applyFill="1" applyBorder="1" applyAlignment="1">
      <alignment horizontal="center"/>
    </xf>
    <xf numFmtId="169" fontId="5" fillId="0" borderId="11" xfId="0" applyNumberFormat="1" applyFont="1" applyFill="1" applyBorder="1" applyAlignment="1">
      <alignment horizontal="center"/>
    </xf>
    <xf numFmtId="169" fontId="5" fillId="0" borderId="12" xfId="0" applyNumberFormat="1" applyFont="1" applyFill="1" applyBorder="1" applyAlignment="1">
      <alignment horizontal="center"/>
    </xf>
    <xf numFmtId="0" fontId="5" fillId="0" borderId="18" xfId="0" applyFont="1" applyFill="1" applyBorder="1" applyAlignment="1">
      <alignment horizontal="left"/>
    </xf>
    <xf numFmtId="169" fontId="5" fillId="0" borderId="13" xfId="0" applyNumberFormat="1" applyFont="1" applyFill="1" applyBorder="1" applyAlignment="1">
      <alignment horizontal="center"/>
    </xf>
    <xf numFmtId="169" fontId="5" fillId="0" borderId="14" xfId="0" applyNumberFormat="1" applyFont="1" applyFill="1" applyBorder="1" applyAlignment="1">
      <alignment horizontal="center"/>
    </xf>
    <xf numFmtId="169" fontId="5" fillId="0" borderId="15" xfId="0" applyNumberFormat="1" applyFont="1" applyFill="1" applyBorder="1" applyAlignment="1">
      <alignment horizontal="center"/>
    </xf>
    <xf numFmtId="166" fontId="0" fillId="3" borderId="0" xfId="0" applyNumberFormat="1" applyFill="1"/>
  </cellXfs>
  <cellStyles count="7">
    <cellStyle name="Comma" xfId="1" builtinId="3"/>
    <cellStyle name="DescriptorColumnStyle" xfId="4" xr:uid="{5BFABDED-660A-4317-85D7-90B1065DE01C}"/>
    <cellStyle name="HeaderStyle" xfId="3" xr:uid="{880BF84D-E671-4F9F-BC7E-C071D2CFD552}"/>
    <cellStyle name="HyphenStyle" xfId="6" xr:uid="{60EBFFEB-E23E-4045-956F-8AAB84C3E467}"/>
    <cellStyle name="Normal" xfId="0" builtinId="0"/>
    <cellStyle name="NumberStyle" xfId="5" xr:uid="{EEFD640B-04C8-471F-B14B-EA6A44F533BA}"/>
    <cellStyle name="Percent" xfId="2" builtinId="5"/>
  </cellStyles>
  <dxfs count="17">
    <dxf>
      <font>
        <b val="0"/>
        <i val="0"/>
        <strike val="0"/>
        <condense val="0"/>
        <extend val="0"/>
        <outline val="0"/>
        <shadow val="0"/>
        <u val="none"/>
        <vertAlign val="baseline"/>
        <sz val="12"/>
        <color auto="1"/>
        <name val="Calibri"/>
        <family val="2"/>
        <scheme val="none"/>
      </font>
      <numFmt numFmtId="2" formatCode="0.0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none"/>
      </font>
      <numFmt numFmtId="2" formatCode="0.0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none"/>
      </font>
      <numFmt numFmtId="2" formatCode="0.0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none"/>
      </font>
      <numFmt numFmtId="2" formatCode="0.0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none"/>
      </font>
      <numFmt numFmtId="2" formatCode="0.0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none"/>
      </font>
      <numFmt numFmtId="2" formatCode="0.0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none"/>
      </font>
      <numFmt numFmtId="2" formatCode="0.0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none"/>
      </font>
      <numFmt numFmtId="2" formatCode="0.0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none"/>
      </font>
      <numFmt numFmtId="2" formatCode="0.0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none"/>
      </font>
      <numFmt numFmtId="2" formatCode="0.0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none"/>
      </font>
      <numFmt numFmtId="2" formatCode="0.0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auto="1"/>
        <name val="Calibri"/>
        <family val="2"/>
        <scheme val="none"/>
      </font>
      <numFmt numFmtId="2" formatCode="0.0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none"/>
      </font>
    </dxf>
    <dxf>
      <border outline="0">
        <bottom style="thin">
          <color auto="1"/>
        </bottom>
      </border>
    </dxf>
    <dxf>
      <font>
        <b val="0"/>
        <i val="0"/>
        <strike val="0"/>
        <condense val="0"/>
        <extend val="0"/>
        <outline val="0"/>
        <shadow val="0"/>
        <u val="none"/>
        <vertAlign val="baseline"/>
        <sz val="12"/>
        <color auto="1"/>
        <name val="Calibri"/>
        <family val="2"/>
        <scheme val="none"/>
      </font>
      <fill>
        <patternFill patternType="solid">
          <fgColor indexed="64"/>
          <bgColor rgb="FFB4C6E7"/>
        </patternFill>
      </fill>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SG"/>
              <a:t>FCFs from FY22 to FY31</a:t>
            </a:r>
          </a:p>
        </c:rich>
      </c:tx>
      <c:overlay val="0"/>
      <c:spPr>
        <a:noFill/>
        <a:ln>
          <a:noFill/>
        </a:ln>
        <a:effectLst/>
      </c:spPr>
    </c:title>
    <c:autoTitleDeleted val="0"/>
    <c:plotArea>
      <c:layout/>
      <c:scatterChart>
        <c:scatterStyle val="lineMarker"/>
        <c:varyColors val="0"/>
        <c:ser>
          <c:idx val="0"/>
          <c:order val="0"/>
          <c:spPr>
            <a:ln w="9525" cap="flat" cmpd="sng" algn="ctr">
              <a:solidFill>
                <a:schemeClr val="accent1">
                  <a:alpha val="70000"/>
                </a:schemeClr>
              </a:solid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rnd">
                      <a:solidFill>
                        <a:schemeClr val="dk1">
                          <a:lumMod val="35000"/>
                          <a:lumOff val="65000"/>
                        </a:schemeClr>
                      </a:solidFill>
                      <a:round/>
                    </a:ln>
                    <a:effectLst/>
                  </c:spPr>
                </c15:leaderLines>
              </c:ext>
            </c:extLst>
          </c:dLbls>
          <c:yVal>
            <c:numRef>
              <c:f>Values!$I$100:$R$100</c:f>
              <c:numCache>
                <c:formatCode>#,##0_ ;[Red]\-#,##0\ </c:formatCode>
                <c:ptCount val="10"/>
                <c:pt idx="0">
                  <c:v>-257.86096180332657</c:v>
                </c:pt>
                <c:pt idx="1">
                  <c:v>-423.33837078578608</c:v>
                </c:pt>
                <c:pt idx="2">
                  <c:v>-366.72800385201191</c:v>
                </c:pt>
                <c:pt idx="3">
                  <c:v>-74.339155302985631</c:v>
                </c:pt>
                <c:pt idx="4">
                  <c:v>-144.88750315144935</c:v>
                </c:pt>
                <c:pt idx="5">
                  <c:v>143.95716841009158</c:v>
                </c:pt>
                <c:pt idx="6">
                  <c:v>428.48433014695996</c:v>
                </c:pt>
                <c:pt idx="7">
                  <c:v>706.46663188341108</c:v>
                </c:pt>
                <c:pt idx="8">
                  <c:v>1077.5180593966311</c:v>
                </c:pt>
                <c:pt idx="9">
                  <c:v>1507.7884847565756</c:v>
                </c:pt>
              </c:numCache>
            </c:numRef>
          </c:yVal>
          <c:smooth val="0"/>
          <c:extLst>
            <c:ext xmlns:c16="http://schemas.microsoft.com/office/drawing/2014/chart" uri="{C3380CC4-5D6E-409C-BE32-E72D297353CC}">
              <c16:uniqueId val="{00000000-F5BB-4634-9291-8916558B8231}"/>
            </c:ext>
          </c:extLst>
        </c:ser>
        <c:dLbls>
          <c:dLblPos val="t"/>
          <c:showLegendKey val="0"/>
          <c:showVal val="1"/>
          <c:showCatName val="0"/>
          <c:showSerName val="0"/>
          <c:showPercent val="0"/>
          <c:showBubbleSize val="0"/>
        </c:dLbls>
        <c:axId val="1109382255"/>
        <c:axId val="668469439"/>
      </c:scatterChart>
      <c:valAx>
        <c:axId val="1109382255"/>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SG"/>
                  <a:t>Years</a:t>
                </a:r>
              </a:p>
            </c:rich>
          </c:tx>
          <c:overlay val="0"/>
          <c:spPr>
            <a:noFill/>
            <a:ln>
              <a:noFill/>
            </a:ln>
            <a:effectLst/>
          </c:spPr>
        </c:title>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68469439"/>
        <c:crosses val="autoZero"/>
        <c:crossBetween val="midCat"/>
      </c:valAx>
      <c:valAx>
        <c:axId val="668469439"/>
        <c:scaling>
          <c:orientation val="minMax"/>
          <c:min val="-500"/>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SG"/>
                  <a:t>FCFs in Millions</a:t>
                </a:r>
              </a:p>
            </c:rich>
          </c:tx>
          <c:overlay val="0"/>
          <c:spPr>
            <a:noFill/>
            <a:ln>
              <a:noFill/>
            </a:ln>
            <a:effectLst/>
          </c:spPr>
        </c:title>
        <c:numFmt formatCode="#,##0_ ;[Red]\-#,##0\ "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109382255"/>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chart" Target="../charts/chart1.xml"/><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hyperlink" Target="http://www.portal.euromonitor.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hyperlink" Target="http://www.portal.euromonitor.com/"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22</xdr:col>
      <xdr:colOff>592455</xdr:colOff>
      <xdr:row>11</xdr:row>
      <xdr:rowOff>111516</xdr:rowOff>
    </xdr:from>
    <xdr:to>
      <xdr:col>38</xdr:col>
      <xdr:colOff>548640</xdr:colOff>
      <xdr:row>17</xdr:row>
      <xdr:rowOff>136115</xdr:rowOff>
    </xdr:to>
    <xdr:pic>
      <xdr:nvPicPr>
        <xdr:cNvPr id="2" name="Picture 1">
          <a:extLst>
            <a:ext uri="{FF2B5EF4-FFF2-40B4-BE49-F238E27FC236}">
              <a16:creationId xmlns:a16="http://schemas.microsoft.com/office/drawing/2014/main" id="{A9F39D32-909C-F3DC-CFFB-180EC42190DD}"/>
            </a:ext>
          </a:extLst>
        </xdr:cNvPr>
        <xdr:cNvPicPr>
          <a:picLocks noChangeAspect="1"/>
        </xdr:cNvPicPr>
      </xdr:nvPicPr>
      <xdr:blipFill>
        <a:blip xmlns:r="http://schemas.openxmlformats.org/officeDocument/2006/relationships" r:embed="rId1"/>
        <a:stretch>
          <a:fillRect/>
        </a:stretch>
      </xdr:blipFill>
      <xdr:spPr>
        <a:xfrm>
          <a:off x="15956280" y="1949841"/>
          <a:ext cx="9704070" cy="1110449"/>
        </a:xfrm>
        <a:prstGeom prst="rect">
          <a:avLst/>
        </a:prstGeom>
      </xdr:spPr>
    </xdr:pic>
    <xdr:clientData/>
  </xdr:twoCellAnchor>
  <xdr:twoCellAnchor>
    <xdr:from>
      <xdr:col>22</xdr:col>
      <xdr:colOff>598171</xdr:colOff>
      <xdr:row>20</xdr:row>
      <xdr:rowOff>26670</xdr:rowOff>
    </xdr:from>
    <xdr:to>
      <xdr:col>39</xdr:col>
      <xdr:colOff>19051</xdr:colOff>
      <xdr:row>23</xdr:row>
      <xdr:rowOff>132819</xdr:rowOff>
    </xdr:to>
    <xdr:pic>
      <xdr:nvPicPr>
        <xdr:cNvPr id="3" name="Picture 2">
          <a:extLst>
            <a:ext uri="{FF2B5EF4-FFF2-40B4-BE49-F238E27FC236}">
              <a16:creationId xmlns:a16="http://schemas.microsoft.com/office/drawing/2014/main" id="{990FEF0F-D5D7-BCF6-7BC4-6AA982F0D9C1}"/>
            </a:ext>
          </a:extLst>
        </xdr:cNvPr>
        <xdr:cNvPicPr>
          <a:picLocks noChangeAspect="1"/>
        </xdr:cNvPicPr>
      </xdr:nvPicPr>
      <xdr:blipFill>
        <a:blip xmlns:r="http://schemas.openxmlformats.org/officeDocument/2006/relationships" r:embed="rId2"/>
        <a:stretch>
          <a:fillRect/>
        </a:stretch>
      </xdr:blipFill>
      <xdr:spPr>
        <a:xfrm>
          <a:off x="15961996" y="3493770"/>
          <a:ext cx="9784080" cy="647169"/>
        </a:xfrm>
        <a:prstGeom prst="rect">
          <a:avLst/>
        </a:prstGeom>
      </xdr:spPr>
    </xdr:pic>
    <xdr:clientData/>
  </xdr:twoCellAnchor>
  <xdr:twoCellAnchor>
    <xdr:from>
      <xdr:col>23</xdr:col>
      <xdr:colOff>47624</xdr:colOff>
      <xdr:row>24</xdr:row>
      <xdr:rowOff>9525</xdr:rowOff>
    </xdr:from>
    <xdr:to>
      <xdr:col>39</xdr:col>
      <xdr:colOff>106187</xdr:colOff>
      <xdr:row>27</xdr:row>
      <xdr:rowOff>78104</xdr:rowOff>
    </xdr:to>
    <xdr:pic>
      <xdr:nvPicPr>
        <xdr:cNvPr id="4" name="Picture 3">
          <a:extLst>
            <a:ext uri="{FF2B5EF4-FFF2-40B4-BE49-F238E27FC236}">
              <a16:creationId xmlns:a16="http://schemas.microsoft.com/office/drawing/2014/main" id="{16A90715-85D9-38E1-DB03-4BAD0CC7F37A}"/>
            </a:ext>
          </a:extLst>
        </xdr:cNvPr>
        <xdr:cNvPicPr>
          <a:picLocks noChangeAspect="1"/>
        </xdr:cNvPicPr>
      </xdr:nvPicPr>
      <xdr:blipFill>
        <a:blip xmlns:r="http://schemas.openxmlformats.org/officeDocument/2006/relationships" r:embed="rId3"/>
        <a:stretch>
          <a:fillRect/>
        </a:stretch>
      </xdr:blipFill>
      <xdr:spPr>
        <a:xfrm>
          <a:off x="16021049" y="4200525"/>
          <a:ext cx="9812163" cy="611504"/>
        </a:xfrm>
        <a:prstGeom prst="rect">
          <a:avLst/>
        </a:prstGeom>
      </xdr:spPr>
    </xdr:pic>
    <xdr:clientData/>
  </xdr:twoCellAnchor>
  <xdr:twoCellAnchor>
    <xdr:from>
      <xdr:col>25</xdr:col>
      <xdr:colOff>419101</xdr:colOff>
      <xdr:row>44</xdr:row>
      <xdr:rowOff>57150</xdr:rowOff>
    </xdr:from>
    <xdr:to>
      <xdr:col>41</xdr:col>
      <xdr:colOff>38101</xdr:colOff>
      <xdr:row>49</xdr:row>
      <xdr:rowOff>91999</xdr:rowOff>
    </xdr:to>
    <xdr:pic>
      <xdr:nvPicPr>
        <xdr:cNvPr id="5" name="Picture 4">
          <a:extLst>
            <a:ext uri="{FF2B5EF4-FFF2-40B4-BE49-F238E27FC236}">
              <a16:creationId xmlns:a16="http://schemas.microsoft.com/office/drawing/2014/main" id="{59FC65B0-0357-7CB8-BAFE-A3A9F33DF5FC}"/>
            </a:ext>
          </a:extLst>
        </xdr:cNvPr>
        <xdr:cNvPicPr>
          <a:picLocks noChangeAspect="1"/>
        </xdr:cNvPicPr>
      </xdr:nvPicPr>
      <xdr:blipFill>
        <a:blip xmlns:r="http://schemas.openxmlformats.org/officeDocument/2006/relationships" r:embed="rId4"/>
        <a:stretch>
          <a:fillRect/>
        </a:stretch>
      </xdr:blipFill>
      <xdr:spPr>
        <a:xfrm>
          <a:off x="17611726" y="7715250"/>
          <a:ext cx="9372600" cy="935914"/>
        </a:xfrm>
        <a:prstGeom prst="rect">
          <a:avLst/>
        </a:prstGeom>
      </xdr:spPr>
    </xdr:pic>
    <xdr:clientData/>
  </xdr:twoCellAnchor>
  <xdr:twoCellAnchor>
    <xdr:from>
      <xdr:col>15</xdr:col>
      <xdr:colOff>277905</xdr:colOff>
      <xdr:row>116</xdr:row>
      <xdr:rowOff>13446</xdr:rowOff>
    </xdr:from>
    <xdr:to>
      <xdr:col>23</xdr:col>
      <xdr:colOff>313765</xdr:colOff>
      <xdr:row>134</xdr:row>
      <xdr:rowOff>8966</xdr:rowOff>
    </xdr:to>
    <xdr:graphicFrame macro="">
      <xdr:nvGraphicFramePr>
        <xdr:cNvPr id="87" name="Chart 5">
          <a:extLst>
            <a:ext uri="{FF2B5EF4-FFF2-40B4-BE49-F238E27FC236}">
              <a16:creationId xmlns:a16="http://schemas.microsoft.com/office/drawing/2014/main" id="{566E45F9-94EE-B019-E6A7-AD5E185991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54</xdr:col>
      <xdr:colOff>237173</xdr:colOff>
      <xdr:row>3</xdr:row>
      <xdr:rowOff>161449</xdr:rowOff>
    </xdr:from>
    <xdr:to>
      <xdr:col>67</xdr:col>
      <xdr:colOff>472651</xdr:colOff>
      <xdr:row>10</xdr:row>
      <xdr:rowOff>92392</xdr:rowOff>
    </xdr:to>
    <xdr:pic>
      <xdr:nvPicPr>
        <xdr:cNvPr id="5" name="Picture 1">
          <a:extLst>
            <a:ext uri="{FF2B5EF4-FFF2-40B4-BE49-F238E27FC236}">
              <a16:creationId xmlns:a16="http://schemas.microsoft.com/office/drawing/2014/main" id="{1B97AC9D-DDB2-321C-3C04-D07555958D33}"/>
            </a:ext>
          </a:extLst>
        </xdr:cNvPr>
        <xdr:cNvPicPr>
          <a:picLocks noChangeAspect="1"/>
        </xdr:cNvPicPr>
      </xdr:nvPicPr>
      <xdr:blipFill>
        <a:blip xmlns:r="http://schemas.openxmlformats.org/officeDocument/2006/relationships" r:embed="rId1"/>
        <a:stretch>
          <a:fillRect/>
        </a:stretch>
      </xdr:blipFill>
      <xdr:spPr>
        <a:xfrm>
          <a:off x="37632323" y="713899"/>
          <a:ext cx="8164088" cy="12034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15</xdr:col>
      <xdr:colOff>0</xdr:colOff>
      <xdr:row>17</xdr:row>
      <xdr:rowOff>0</xdr:rowOff>
    </xdr:from>
    <xdr:ext cx="1760220" cy="335280"/>
    <xdr:pic>
      <xdr:nvPicPr>
        <xdr:cNvPr id="4" name="Picture 1">
          <a:hlinkClick xmlns:r="http://schemas.openxmlformats.org/officeDocument/2006/relationships" r:id="rId1"/>
          <a:extLst>
            <a:ext uri="{FF2B5EF4-FFF2-40B4-BE49-F238E27FC236}">
              <a16:creationId xmlns:a16="http://schemas.microsoft.com/office/drawing/2014/main" id="{8523666D-03B1-4DE3-BC83-DAEC9137C9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7640"/>
          <a:ext cx="1760220" cy="327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14</xdr:col>
      <xdr:colOff>0</xdr:colOff>
      <xdr:row>55</xdr:row>
      <xdr:rowOff>0</xdr:rowOff>
    </xdr:from>
    <xdr:to>
      <xdr:col>16</xdr:col>
      <xdr:colOff>637117</xdr:colOff>
      <xdr:row>55</xdr:row>
      <xdr:rowOff>315595</xdr:rowOff>
    </xdr:to>
    <xdr:pic>
      <xdr:nvPicPr>
        <xdr:cNvPr id="2" name="Picture 1">
          <a:hlinkClick xmlns:r="http://schemas.openxmlformats.org/officeDocument/2006/relationships" r:id="rId1"/>
          <a:extLst>
            <a:ext uri="{FF2B5EF4-FFF2-40B4-BE49-F238E27FC236}">
              <a16:creationId xmlns:a16="http://schemas.microsoft.com/office/drawing/2014/main" id="{B0C2499E-F325-49D5-BDD5-7E963B473A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7640"/>
          <a:ext cx="1752600" cy="327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64213</xdr:colOff>
      <xdr:row>51</xdr:row>
      <xdr:rowOff>139128</xdr:rowOff>
    </xdr:from>
    <xdr:to>
      <xdr:col>12</xdr:col>
      <xdr:colOff>664499</xdr:colOff>
      <xdr:row>59</xdr:row>
      <xdr:rowOff>15375</xdr:rowOff>
    </xdr:to>
    <xdr:pic>
      <xdr:nvPicPr>
        <xdr:cNvPr id="3" name="Picture 1">
          <a:extLst>
            <a:ext uri="{FF2B5EF4-FFF2-40B4-BE49-F238E27FC236}">
              <a16:creationId xmlns:a16="http://schemas.microsoft.com/office/drawing/2014/main" id="{60226D27-C4BB-5230-1E59-0EFCD8D04137}"/>
            </a:ext>
          </a:extLst>
        </xdr:cNvPr>
        <xdr:cNvPicPr>
          <a:picLocks noChangeAspect="1"/>
        </xdr:cNvPicPr>
      </xdr:nvPicPr>
      <xdr:blipFill>
        <a:blip xmlns:r="http://schemas.openxmlformats.org/officeDocument/2006/relationships" r:embed="rId1"/>
        <a:stretch>
          <a:fillRect/>
        </a:stretch>
      </xdr:blipFill>
      <xdr:spPr>
        <a:xfrm>
          <a:off x="15015252" y="9450083"/>
          <a:ext cx="4111836" cy="140659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104776</xdr:colOff>
      <xdr:row>26</xdr:row>
      <xdr:rowOff>114301</xdr:rowOff>
    </xdr:from>
    <xdr:to>
      <xdr:col>5</xdr:col>
      <xdr:colOff>243841</xdr:colOff>
      <xdr:row>31</xdr:row>
      <xdr:rowOff>30158</xdr:rowOff>
    </xdr:to>
    <xdr:pic>
      <xdr:nvPicPr>
        <xdr:cNvPr id="2" name="Picture 1">
          <a:extLst>
            <a:ext uri="{FF2B5EF4-FFF2-40B4-BE49-F238E27FC236}">
              <a16:creationId xmlns:a16="http://schemas.microsoft.com/office/drawing/2014/main" id="{4B14E62A-D1E5-2CF7-0199-E5DAB2D6F8C0}"/>
            </a:ext>
          </a:extLst>
        </xdr:cNvPr>
        <xdr:cNvPicPr>
          <a:picLocks noChangeAspect="1"/>
        </xdr:cNvPicPr>
      </xdr:nvPicPr>
      <xdr:blipFill>
        <a:blip xmlns:r="http://schemas.openxmlformats.org/officeDocument/2006/relationships" r:embed="rId1"/>
        <a:stretch>
          <a:fillRect/>
        </a:stretch>
      </xdr:blipFill>
      <xdr:spPr>
        <a:xfrm>
          <a:off x="104776" y="2324101"/>
          <a:ext cx="4648200" cy="818827"/>
        </a:xfrm>
        <a:prstGeom prst="rect">
          <a:avLst/>
        </a:prstGeom>
      </xdr:spPr>
    </xdr:pic>
    <xdr:clientData/>
  </xdr:twoCellAnchor>
  <xdr:twoCellAnchor>
    <xdr:from>
      <xdr:col>0</xdr:col>
      <xdr:colOff>100965</xdr:colOff>
      <xdr:row>31</xdr:row>
      <xdr:rowOff>95250</xdr:rowOff>
    </xdr:from>
    <xdr:to>
      <xdr:col>5</xdr:col>
      <xdr:colOff>600075</xdr:colOff>
      <xdr:row>52</xdr:row>
      <xdr:rowOff>93272</xdr:rowOff>
    </xdr:to>
    <xdr:pic>
      <xdr:nvPicPr>
        <xdr:cNvPr id="3" name="Picture 2">
          <a:extLst>
            <a:ext uri="{FF2B5EF4-FFF2-40B4-BE49-F238E27FC236}">
              <a16:creationId xmlns:a16="http://schemas.microsoft.com/office/drawing/2014/main" id="{444B6A16-6639-70DA-154E-AC8F11B01E89}"/>
            </a:ext>
          </a:extLst>
        </xdr:cNvPr>
        <xdr:cNvPicPr>
          <a:picLocks noChangeAspect="1"/>
        </xdr:cNvPicPr>
      </xdr:nvPicPr>
      <xdr:blipFill>
        <a:blip xmlns:r="http://schemas.openxmlformats.org/officeDocument/2006/relationships" r:embed="rId2"/>
        <a:stretch>
          <a:fillRect/>
        </a:stretch>
      </xdr:blipFill>
      <xdr:spPr>
        <a:xfrm>
          <a:off x="100965" y="3209925"/>
          <a:ext cx="5004435" cy="3798497"/>
        </a:xfrm>
        <a:prstGeom prst="rect">
          <a:avLst/>
        </a:prstGeom>
      </xdr:spPr>
    </xdr:pic>
    <xdr:clientData/>
  </xdr:twoCellAnchor>
  <xdr:twoCellAnchor>
    <xdr:from>
      <xdr:col>0</xdr:col>
      <xdr:colOff>123825</xdr:colOff>
      <xdr:row>61</xdr:row>
      <xdr:rowOff>9525</xdr:rowOff>
    </xdr:from>
    <xdr:to>
      <xdr:col>14</xdr:col>
      <xdr:colOff>339719</xdr:colOff>
      <xdr:row>67</xdr:row>
      <xdr:rowOff>58913</xdr:rowOff>
    </xdr:to>
    <xdr:pic>
      <xdr:nvPicPr>
        <xdr:cNvPr id="4" name="Picture 3">
          <a:extLst>
            <a:ext uri="{FF2B5EF4-FFF2-40B4-BE49-F238E27FC236}">
              <a16:creationId xmlns:a16="http://schemas.microsoft.com/office/drawing/2014/main" id="{E3286ACA-3780-038F-B245-ABDB9BC2289C}"/>
            </a:ext>
          </a:extLst>
        </xdr:cNvPr>
        <xdr:cNvPicPr>
          <a:picLocks noChangeAspect="1"/>
        </xdr:cNvPicPr>
      </xdr:nvPicPr>
      <xdr:blipFill>
        <a:blip xmlns:r="http://schemas.openxmlformats.org/officeDocument/2006/relationships" r:embed="rId3"/>
        <a:stretch>
          <a:fillRect/>
        </a:stretch>
      </xdr:blipFill>
      <xdr:spPr>
        <a:xfrm>
          <a:off x="123825" y="1866900"/>
          <a:ext cx="10207619" cy="1135238"/>
        </a:xfrm>
        <a:prstGeom prst="rect">
          <a:avLst/>
        </a:prstGeom>
      </xdr:spPr>
    </xdr:pic>
    <xdr:clientData/>
  </xdr:twoCellAnchor>
  <xdr:twoCellAnchor>
    <xdr:from>
      <xdr:col>0</xdr:col>
      <xdr:colOff>110490</xdr:colOff>
      <xdr:row>70</xdr:row>
      <xdr:rowOff>38100</xdr:rowOff>
    </xdr:from>
    <xdr:to>
      <xdr:col>14</xdr:col>
      <xdr:colOff>593052</xdr:colOff>
      <xdr:row>76</xdr:row>
      <xdr:rowOff>60821</xdr:rowOff>
    </xdr:to>
    <xdr:pic>
      <xdr:nvPicPr>
        <xdr:cNvPr id="5" name="Picture 4">
          <a:extLst>
            <a:ext uri="{FF2B5EF4-FFF2-40B4-BE49-F238E27FC236}">
              <a16:creationId xmlns:a16="http://schemas.microsoft.com/office/drawing/2014/main" id="{2C9D0478-8AFC-5C6E-83CA-911956F88BCD}"/>
            </a:ext>
          </a:extLst>
        </xdr:cNvPr>
        <xdr:cNvPicPr>
          <a:picLocks noChangeAspect="1"/>
        </xdr:cNvPicPr>
      </xdr:nvPicPr>
      <xdr:blipFill>
        <a:blip xmlns:r="http://schemas.openxmlformats.org/officeDocument/2006/relationships" r:embed="rId4"/>
        <a:stretch>
          <a:fillRect/>
        </a:stretch>
      </xdr:blipFill>
      <xdr:spPr>
        <a:xfrm>
          <a:off x="110490" y="3524250"/>
          <a:ext cx="10474287" cy="110857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Phyllis Poh Lay Suan" id="{3FE82F37-6EA8-4A75-B54B-3F867803C213}" userId="S::e0556686@u.nus.edu::d3febb97-5696-43e1-9deb-b0f7301b95c6" providerId="AD"/>
  <person displayName="Tan Wei Yong" id="{FDAC3008-6AC9-4AB4-9E88-956E8198A204}" userId="S::e0560304@u.nus.edu::7da466ea-2ac0-4790-af4c-ce078c738969" providerId="AD"/>
  <person displayName="Chong Kha Lek" id="{41CF8C38-6695-4451-B400-50834D341DCC}" userId="S::e0564959@u.nus.edu::1aa22737-6ade-4bd8-9171-3826b72ebcd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A38A8-0E9F-0D45-BA4A-E8756728930E}" name="Table1" displayName="Table1" ref="W6:AH155" totalsRowShown="0" headerRowDxfId="16" dataDxfId="14" headerRowBorderDxfId="15" tableBorderDxfId="13" totalsRowBorderDxfId="12">
  <autoFilter ref="W6:AH155" xr:uid="{C16A38A8-0E9F-0D45-BA4A-E8756728930E}"/>
  <tableColumns count="12">
    <tableColumn id="1" xr3:uid="{F87D70F3-8907-9246-A7C0-6C72EF2653DF}" name="Column1" dataDxfId="11"/>
    <tableColumn id="2" xr3:uid="{D52E70AC-4D75-4445-A0AE-01D8FD58FD6E}" name="2017" dataDxfId="10"/>
    <tableColumn id="3" xr3:uid="{FFDB5033-0F46-FE4E-9428-6ABD113B2D93}" name="2018" dataDxfId="9"/>
    <tableColumn id="4" xr3:uid="{99CF9983-37A7-284F-AB33-FE2478DF43D8}" name="2019" dataDxfId="8"/>
    <tableColumn id="5" xr3:uid="{C4E8E6D6-E3A4-CD43-80F3-D7D1A926E307}" name="2020" dataDxfId="7"/>
    <tableColumn id="6" xr3:uid="{BD6C2E2B-270C-A044-8E6B-01A9644F67A2}" name="2021" dataDxfId="6"/>
    <tableColumn id="7" xr3:uid="{900582A6-0A78-4D40-9F43-AB11419CBF5A}" name="2022" dataDxfId="5"/>
    <tableColumn id="8" xr3:uid="{68EC1EE8-BCE1-4D43-A4AF-152DBD1CA7F3}" name="2023" dataDxfId="4"/>
    <tableColumn id="9" xr3:uid="{5B39B879-5167-CB42-B9CC-DF9B239F0FF2}" name="2024" dataDxfId="3"/>
    <tableColumn id="10" xr3:uid="{FB5159A0-86A0-4845-9418-47EF9C7D44A7}" name="2025" dataDxfId="2"/>
    <tableColumn id="11" xr3:uid="{33DB5BEB-C44C-C044-AA9F-C6526ADAC387}" name="2026" dataDxfId="1"/>
    <tableColumn id="12" xr3:uid="{0CEEF5AC-1724-9748-BBAD-60DCC29F6959}" name="202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9" dT="2023-03-08T06:45:09.31" personId="{3FE82F37-6EA8-4A75-B54B-3F867803C213}" id="{A637665E-65A4-42C7-90D1-9E0AA5EBDFD4}">
    <text>Extracted out the Depreciation of PPE and Depreciation of Intangible assets from the Cost of Revenue. </text>
  </threadedComment>
</ThreadedComments>
</file>

<file path=xl/threadedComments/threadedComment2.xml><?xml version="1.0" encoding="utf-8"?>
<ThreadedComments xmlns="http://schemas.microsoft.com/office/spreadsheetml/2018/threadedcomments" xmlns:x="http://schemas.openxmlformats.org/spreadsheetml/2006/main">
  <threadedComment ref="A10" dT="2023-03-03T13:37:18.97" personId="{41CF8C38-6695-4451-B400-50834D341DCC}" id="{C8C1C140-74D6-4CD6-B830-0D9FCC658D05}">
    <text>Gross profit margin was originally hardcoded
Increases in margin did not have a linear logic
To sensitize gross margin, make the gross profit margin starting from "K10" a formula
= J9 + $B$10 such that Cell R9 = 75%
Using solver, the rate is 6.25%
Stock price from 4.3 to 4.5 - not a material increase
Linked to "Values" cell C126 for data table to work</text>
  </threadedComment>
  <threadedComment ref="I14" dT="2023-03-06T12:36:38.24" personId="{41CF8C38-6695-4451-B400-50834D341DCC}" id="{A76D8A8D-2A5A-42B1-BE35-622C9B6123C5}">
    <text>Fix these cells.
They make the Q4 GMV make sense</text>
  </threadedComment>
  <threadedComment ref="J14" dT="2023-03-06T12:39:52.32" personId="{41CF8C38-6695-4451-B400-50834D341DCC}" id="{B78F95F8-ECB4-48C9-B3E3-CB3EF537C86F}">
    <text>As high as they can be</text>
  </threadedComment>
  <threadedComment ref="A26" dT="2023-03-04T07:23:03.79" personId="{41CF8C38-6695-4451-B400-50834D341DCC}" id="{694AA5C2-867A-4BE9-9DC7-75D2BF371D95}">
    <text xml:space="preserve">Commission rate % of GMV is actually given
However, using given figures the calculated revenue figure does not tie.
Hence, select revenue as given and then alter consumer incentive to tie to final revenue. 
Difference not material
</text>
  </threadedComment>
  <threadedComment ref="H27" dT="2023-03-08T08:27:28.26" personId="{FDAC3008-6AC9-4AB4-9E88-956E8198A204}" id="{51486C93-F24E-4FCF-83E3-CC8EF8D78A7C}">
    <text>Hardcoded these cells since we are assuming that commission rates wont vary that much</text>
  </threadedComment>
  <threadedComment ref="H27" dT="2023-03-08T08:47:04.59" personId="{FDAC3008-6AC9-4AB4-9E88-956E8198A204}" id="{DCB15C1E-B9ED-4D4F-9F1C-325D3D763DB1}" parentId="{51486C93-F24E-4FCF-83E3-CC8EF8D78A7C}">
    <text>Cells H27-H30</text>
  </threadedComment>
  <threadedComment ref="M27" dT="2023-03-08T08:33:10.96" personId="{FDAC3008-6AC9-4AB4-9E88-956E8198A204}" id="{610B86C1-DA91-4C68-A1B4-8CD03A4C19B1}">
    <text>Assume that commission rates don’t grow year 2025</text>
  </threadedComment>
  <threadedComment ref="M28" dT="2023-03-08T08:48:58.69" personId="{FDAC3008-6AC9-4AB4-9E88-956E8198A204}" id="{15ED0703-BA28-44C5-9A1D-08C38285AA3A}">
    <text>Assume commission rates doesn’t grow after 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H5" dT="2023-03-08T11:13:17.61" personId="{FDAC3008-6AC9-4AB4-9E88-956E8198A204}" id="{26B0685F-6035-4064-8694-C41E01431AC8}">
    <text>Cells H5: R5 need to check</text>
  </threadedComment>
  <threadedComment ref="F31" dT="2023-03-08T13:14:45.79" personId="{FDAC3008-6AC9-4AB4-9E88-956E8198A204}" id="{6891E988-F40F-4B9C-8363-53DA371A829E}">
    <text>Refer to page 124 of AR 21</text>
  </threadedComment>
</ThreadedComments>
</file>

<file path=xl/threadedComments/threadedComment4.xml><?xml version="1.0" encoding="utf-8"?>
<ThreadedComments xmlns="http://schemas.microsoft.com/office/spreadsheetml/2018/threadedcomments" xmlns:x="http://schemas.openxmlformats.org/spreadsheetml/2006/main">
  <threadedComment ref="U8" dT="2023-03-08T13:14:45.79" personId="{FDAC3008-6AC9-4AB4-9E88-956E8198A204}" id="{581F0E5C-6F44-F845-BCE7-78C5FD8637CF}">
    <text>Refer to page 124 of AR 21</text>
  </threadedComment>
  <threadedComment ref="J13" dT="2023-03-06T12:36:38.24" personId="{41CF8C38-6695-4451-B400-50834D341DCC}" id="{9E1FE0D5-30AA-B04A-BFC3-869D7C8D43FA}">
    <text>Fix these cells.
They make the Q4 GMV make sense</text>
  </threadedComment>
  <threadedComment ref="K13" dT="2023-03-06T12:39:52.32" personId="{41CF8C38-6695-4451-B400-50834D341DCC}" id="{B545CB7B-AC29-614C-9FCA-3F002089666E}">
    <text>As high as they can be</text>
  </threadedComment>
  <threadedComment ref="C36" dT="2023-03-08T13:14:45.79" personId="{FDAC3008-6AC9-4AB4-9E88-956E8198A204}" id="{C4378A13-AE51-2B4F-9ACE-F53F035B2586}">
    <text>Refer to page 124 of AR 21</text>
  </threadedComment>
</ThreadedComments>
</file>

<file path=xl/threadedComments/threadedComment5.xml><?xml version="1.0" encoding="utf-8"?>
<ThreadedComments xmlns="http://schemas.microsoft.com/office/spreadsheetml/2018/threadedcomments" xmlns:x="http://schemas.openxmlformats.org/spreadsheetml/2006/main">
  <threadedComment ref="C7" dT="2023-03-06T13:45:30.88" personId="{FDAC3008-6AC9-4AB4-9E88-956E8198A204}" id="{7CC34739-182C-4DF9-98FA-4A7C208BC6BA}">
    <text>Page 144 of AR 21</text>
  </threadedComment>
  <threadedComment ref="C7" dT="2023-03-06T13:52:59.26" personId="{FDAC3008-6AC9-4AB4-9E88-956E8198A204}" id="{F0748491-A8E8-4193-AADA-F00C45468A60}" parentId="{7CC34739-182C-4DF9-98FA-4A7C208BC6BA}">
    <text>The CRPS reserve comprises the equity component of the convertible redeemable preference shares. The conversion of CRPS shares into GHL
ordinary shares has resulted in the reclassification of the CRPS reserve to share premium within equity.</text>
  </threadedComment>
</ThreadedComment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hyperlink" Target="https://www.statista.com/outlook/dmo/online-food-delivery/grocery-delivery/worldwide?currency=USD"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400FC-5EDF-4E9E-B2EA-DD2CF5684B2F}">
  <sheetPr codeName="Sheet1"/>
  <dimension ref="A1:P80"/>
  <sheetViews>
    <sheetView showGridLines="0" workbookViewId="0">
      <selection activeCell="A82" sqref="A82"/>
    </sheetView>
  </sheetViews>
  <sheetFormatPr defaultColWidth="8.7109375" defaultRowHeight="15" outlineLevelRow="1"/>
  <sheetData>
    <row r="1" spans="1:16" s="103" customFormat="1" ht="17.25">
      <c r="A1" s="101" t="s">
        <v>0</v>
      </c>
      <c r="B1" s="102"/>
      <c r="C1" s="102"/>
      <c r="D1" s="102"/>
      <c r="E1" s="102"/>
      <c r="F1" s="102"/>
      <c r="G1" s="102"/>
      <c r="H1" s="102"/>
      <c r="I1" s="102"/>
      <c r="J1" s="102"/>
      <c r="K1" s="102"/>
      <c r="L1" s="102"/>
      <c r="M1" s="102"/>
      <c r="N1" s="102"/>
      <c r="O1" s="102"/>
      <c r="P1" s="102"/>
    </row>
    <row r="2" spans="1:16" hidden="1" outlineLevel="1"/>
    <row r="3" spans="1:16" hidden="1" outlineLevel="1"/>
    <row r="4" spans="1:16" hidden="1" outlineLevel="1"/>
    <row r="5" spans="1:16" hidden="1" outlineLevel="1"/>
    <row r="6" spans="1:16" hidden="1" outlineLevel="1"/>
    <row r="7" spans="1:16" hidden="1" outlineLevel="1"/>
    <row r="8" spans="1:16" hidden="1" outlineLevel="1"/>
    <row r="9" spans="1:16" hidden="1" outlineLevel="1"/>
    <row r="10" spans="1:16" hidden="1" outlineLevel="1"/>
    <row r="11" spans="1:16" hidden="1" outlineLevel="1"/>
    <row r="12" spans="1:16" hidden="1" outlineLevel="1"/>
    <row r="13" spans="1:16" hidden="1" outlineLevel="1"/>
    <row r="14" spans="1:16" hidden="1" outlineLevel="1"/>
    <row r="15" spans="1:16" hidden="1" outlineLevel="1"/>
    <row r="16" spans="1:16" hidden="1" outlineLevel="1"/>
    <row r="17" spans="1:16" hidden="1" outlineLevel="1"/>
    <row r="18" spans="1:16" hidden="1" outlineLevel="1"/>
    <row r="19" spans="1:16" collapsed="1"/>
    <row r="20" spans="1:16" s="103" customFormat="1" ht="17.25">
      <c r="A20" s="101" t="s">
        <v>1</v>
      </c>
      <c r="B20" s="102"/>
      <c r="C20" s="102"/>
      <c r="D20" s="102"/>
      <c r="E20" s="102"/>
      <c r="F20" s="102"/>
      <c r="G20" s="102"/>
      <c r="H20" s="102"/>
      <c r="I20" s="102"/>
      <c r="J20" s="102"/>
      <c r="K20" s="102"/>
      <c r="L20" s="102"/>
      <c r="M20" s="102"/>
      <c r="N20" s="102"/>
      <c r="O20" s="102"/>
      <c r="P20" s="102"/>
    </row>
    <row r="21" spans="1:16" hidden="1" outlineLevel="1"/>
    <row r="22" spans="1:16" hidden="1" outlineLevel="1"/>
    <row r="23" spans="1:16" hidden="1" outlineLevel="1"/>
    <row r="24" spans="1:16" hidden="1" outlineLevel="1"/>
    <row r="25" spans="1:16" hidden="1" outlineLevel="1"/>
    <row r="26" spans="1:16" hidden="1" outlineLevel="1"/>
    <row r="27" spans="1:16" hidden="1" outlineLevel="1"/>
    <row r="28" spans="1:16" hidden="1" outlineLevel="1"/>
    <row r="29" spans="1:16" hidden="1" outlineLevel="1"/>
    <row r="30" spans="1:16" hidden="1" outlineLevel="1"/>
    <row r="31" spans="1:16" hidden="1" outlineLevel="1"/>
    <row r="32" spans="1:16" hidden="1" outlineLevel="1"/>
    <row r="33" spans="1:16" hidden="1" outlineLevel="1"/>
    <row r="34" spans="1:16" hidden="1" outlineLevel="1"/>
    <row r="35" spans="1:16" hidden="1" outlineLevel="1"/>
    <row r="36" spans="1:16" hidden="1" outlineLevel="1"/>
    <row r="37" spans="1:16" hidden="1" outlineLevel="1"/>
    <row r="38" spans="1:16" hidden="1" outlineLevel="1"/>
    <row r="39" spans="1:16" collapsed="1"/>
    <row r="40" spans="1:16" s="103" customFormat="1" ht="17.25">
      <c r="A40" s="101" t="s">
        <v>2</v>
      </c>
      <c r="B40" s="102"/>
      <c r="C40" s="102"/>
      <c r="D40" s="102"/>
      <c r="E40" s="102"/>
      <c r="F40" s="102"/>
      <c r="G40" s="102"/>
      <c r="H40" s="102"/>
      <c r="I40" s="102"/>
      <c r="J40" s="102"/>
      <c r="K40" s="102"/>
      <c r="L40" s="102"/>
      <c r="M40" s="102"/>
      <c r="N40" s="102"/>
      <c r="O40" s="102"/>
      <c r="P40" s="102"/>
    </row>
    <row r="41" spans="1:16" hidden="1" outlineLevel="1"/>
    <row r="42" spans="1:16" hidden="1" outlineLevel="1"/>
    <row r="43" spans="1:16" hidden="1" outlineLevel="1"/>
    <row r="44" spans="1:16" hidden="1" outlineLevel="1"/>
    <row r="45" spans="1:16" hidden="1" outlineLevel="1"/>
    <row r="46" spans="1:16" hidden="1" outlineLevel="1"/>
    <row r="47" spans="1:16" hidden="1" outlineLevel="1"/>
    <row r="48" spans="1:16" hidden="1" outlineLevel="1"/>
    <row r="49" spans="1:16" hidden="1" outlineLevel="1"/>
    <row r="50" spans="1:16" hidden="1" outlineLevel="1"/>
    <row r="51" spans="1:16" hidden="1" outlineLevel="1"/>
    <row r="52" spans="1:16" hidden="1" outlineLevel="1"/>
    <row r="53" spans="1:16" hidden="1" outlineLevel="1"/>
    <row r="54" spans="1:16" hidden="1" outlineLevel="1"/>
    <row r="55" spans="1:16" hidden="1" outlineLevel="1"/>
    <row r="56" spans="1:16" hidden="1" outlineLevel="1"/>
    <row r="57" spans="1:16" hidden="1" outlineLevel="1"/>
    <row r="58" spans="1:16" hidden="1" outlineLevel="1"/>
    <row r="59" spans="1:16" collapsed="1"/>
    <row r="60" spans="1:16" s="103" customFormat="1" ht="17.25">
      <c r="A60" s="101" t="s">
        <v>3</v>
      </c>
      <c r="B60" s="102"/>
      <c r="C60" s="102"/>
      <c r="D60" s="102"/>
      <c r="E60" s="102"/>
      <c r="F60" s="102"/>
      <c r="G60" s="102"/>
      <c r="H60" s="102"/>
      <c r="I60" s="102"/>
      <c r="J60" s="102"/>
      <c r="K60" s="102"/>
      <c r="L60" s="102"/>
      <c r="M60" s="102"/>
      <c r="N60" s="102"/>
      <c r="O60" s="102"/>
      <c r="P60" s="102"/>
    </row>
    <row r="61" spans="1:16" hidden="1" outlineLevel="1"/>
    <row r="62" spans="1:16" hidden="1" outlineLevel="1"/>
    <row r="63" spans="1:16" hidden="1" outlineLevel="1"/>
    <row r="64" spans="1:16" hidden="1" outlineLevel="1"/>
    <row r="65" spans="1:16" hidden="1" outlineLevel="1"/>
    <row r="66" spans="1:16" hidden="1" outlineLevel="1"/>
    <row r="67" spans="1:16" hidden="1" outlineLevel="1"/>
    <row r="68" spans="1:16" hidden="1" outlineLevel="1"/>
    <row r="69" spans="1:16" hidden="1" outlineLevel="1"/>
    <row r="70" spans="1:16" hidden="1" outlineLevel="1"/>
    <row r="71" spans="1:16" hidden="1" outlineLevel="1"/>
    <row r="72" spans="1:16" hidden="1" outlineLevel="1"/>
    <row r="73" spans="1:16" hidden="1" outlineLevel="1"/>
    <row r="74" spans="1:16" hidden="1" outlineLevel="1"/>
    <row r="75" spans="1:16" hidden="1" outlineLevel="1"/>
    <row r="76" spans="1:16" hidden="1" outlineLevel="1"/>
    <row r="77" spans="1:16" hidden="1" outlineLevel="1"/>
    <row r="78" spans="1:16" hidden="1" outlineLevel="1"/>
    <row r="79" spans="1:16" collapsed="1"/>
    <row r="80" spans="1:16" s="103" customFormat="1" ht="17.25">
      <c r="A80" s="101" t="s">
        <v>4</v>
      </c>
      <c r="B80" s="102"/>
      <c r="C80" s="102"/>
      <c r="D80" s="102"/>
      <c r="E80" s="102"/>
      <c r="F80" s="102"/>
      <c r="G80" s="102"/>
      <c r="H80" s="102"/>
      <c r="I80" s="102"/>
      <c r="J80" s="102"/>
      <c r="K80" s="102"/>
      <c r="L80" s="102"/>
      <c r="M80" s="102"/>
      <c r="N80" s="102"/>
      <c r="O80" s="102"/>
      <c r="P80"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1E285-F14C-429B-BEE2-2AAEC61D00A6}">
  <sheetPr codeName="Sheet2"/>
  <dimension ref="B3:G24"/>
  <sheetViews>
    <sheetView showGridLines="0" workbookViewId="0">
      <selection activeCell="G14" sqref="G14:G16"/>
    </sheetView>
  </sheetViews>
  <sheetFormatPr defaultColWidth="11.5703125" defaultRowHeight="15"/>
  <cols>
    <col min="3" max="3" width="27.28515625" customWidth="1"/>
    <col min="4" max="4" width="26.7109375" customWidth="1"/>
  </cols>
  <sheetData>
    <row r="3" spans="2:7" ht="15.75" thickBot="1"/>
    <row r="4" spans="2:7">
      <c r="B4" s="785"/>
      <c r="C4" s="786"/>
      <c r="D4" s="786"/>
      <c r="E4" s="787"/>
    </row>
    <row r="5" spans="2:7">
      <c r="B5" s="288"/>
      <c r="E5" s="289"/>
    </row>
    <row r="6" spans="2:7" ht="46.5">
      <c r="B6" s="288"/>
      <c r="C6" s="844" t="s">
        <v>5</v>
      </c>
      <c r="D6" s="844"/>
      <c r="E6" s="289"/>
    </row>
    <row r="7" spans="2:7" ht="18.75">
      <c r="B7" s="288"/>
      <c r="C7" s="845" t="s">
        <v>6</v>
      </c>
      <c r="D7" s="845"/>
      <c r="E7" s="289"/>
    </row>
    <row r="8" spans="2:7" ht="18.75">
      <c r="B8" s="288"/>
      <c r="C8" s="789"/>
      <c r="D8" s="789"/>
      <c r="E8" s="289"/>
    </row>
    <row r="9" spans="2:7" ht="18.75">
      <c r="B9" s="288"/>
      <c r="C9" s="845" t="s">
        <v>7</v>
      </c>
      <c r="D9" s="845"/>
      <c r="E9" s="289"/>
    </row>
    <row r="10" spans="2:7" ht="42.75" customHeight="1">
      <c r="B10" s="288"/>
      <c r="C10" s="846" t="s">
        <v>8</v>
      </c>
      <c r="D10" s="846"/>
      <c r="E10" s="289"/>
    </row>
    <row r="11" spans="2:7" ht="18.75">
      <c r="B11" s="288"/>
      <c r="C11" s="789"/>
      <c r="D11" s="789"/>
      <c r="E11" s="289"/>
    </row>
    <row r="12" spans="2:7" ht="18.75">
      <c r="B12" s="288"/>
      <c r="C12" s="789"/>
      <c r="D12" s="789"/>
      <c r="E12" s="289"/>
    </row>
    <row r="13" spans="2:7" ht="18.75">
      <c r="B13" s="288"/>
      <c r="C13" s="847" t="s">
        <v>9</v>
      </c>
      <c r="D13" s="847"/>
      <c r="E13" s="289"/>
    </row>
    <row r="14" spans="2:7" ht="18.75">
      <c r="B14" s="288"/>
      <c r="C14" s="790"/>
      <c r="D14" s="790"/>
      <c r="E14" s="289"/>
      <c r="G14" t="s">
        <v>686</v>
      </c>
    </row>
    <row r="15" spans="2:7" s="795" customFormat="1" ht="26.25" customHeight="1" thickBot="1">
      <c r="B15" s="796"/>
      <c r="C15" s="797" t="s">
        <v>10</v>
      </c>
      <c r="D15" s="797" t="s">
        <v>11</v>
      </c>
      <c r="E15" s="798"/>
      <c r="G15" t="s">
        <v>685</v>
      </c>
    </row>
    <row r="16" spans="2:7" ht="19.5" thickTop="1">
      <c r="B16" s="288"/>
      <c r="C16" s="790"/>
      <c r="D16" s="790"/>
      <c r="E16" s="289"/>
      <c r="G16" t="s">
        <v>684</v>
      </c>
    </row>
    <row r="17" spans="2:5" ht="18.75">
      <c r="B17" s="288"/>
      <c r="C17" s="788" t="s">
        <v>12</v>
      </c>
      <c r="D17" s="788" t="s">
        <v>13</v>
      </c>
      <c r="E17" s="289"/>
    </row>
    <row r="18" spans="2:5" ht="18.75">
      <c r="B18" s="288"/>
      <c r="C18" s="788" t="s">
        <v>14</v>
      </c>
      <c r="D18" s="788" t="s">
        <v>15</v>
      </c>
      <c r="E18" s="289"/>
    </row>
    <row r="19" spans="2:5" ht="18.75">
      <c r="B19" s="288"/>
      <c r="C19" s="788" t="s">
        <v>16</v>
      </c>
      <c r="D19" s="788" t="s">
        <v>17</v>
      </c>
      <c r="E19" s="289"/>
    </row>
    <row r="20" spans="2:5" ht="18.75">
      <c r="B20" s="288"/>
      <c r="C20" s="788" t="s">
        <v>18</v>
      </c>
      <c r="D20" s="788" t="s">
        <v>19</v>
      </c>
      <c r="E20" s="289"/>
    </row>
    <row r="21" spans="2:5" ht="18.75">
      <c r="B21" s="288"/>
      <c r="C21" s="788" t="s">
        <v>20</v>
      </c>
      <c r="D21" s="788" t="s">
        <v>21</v>
      </c>
      <c r="E21" s="289"/>
    </row>
    <row r="22" spans="2:5">
      <c r="B22" s="288"/>
      <c r="E22" s="289"/>
    </row>
    <row r="23" spans="2:5">
      <c r="B23" s="288"/>
      <c r="E23" s="289"/>
    </row>
    <row r="24" spans="2:5" ht="15.75" thickBot="1">
      <c r="B24" s="290"/>
      <c r="C24" s="293"/>
      <c r="D24" s="293"/>
      <c r="E24" s="416"/>
    </row>
  </sheetData>
  <mergeCells count="5">
    <mergeCell ref="C6:D6"/>
    <mergeCell ref="C7:D7"/>
    <mergeCell ref="C9:D9"/>
    <mergeCell ref="C10:D10"/>
    <mergeCell ref="C13:D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818C6-B85C-4C9F-8E59-D5747A44671D}">
  <sheetPr codeName="Sheet15"/>
  <dimension ref="A1:AL132"/>
  <sheetViews>
    <sheetView showGridLines="0" topLeftCell="A87" workbookViewId="0">
      <selection activeCell="D111" sqref="D111"/>
    </sheetView>
  </sheetViews>
  <sheetFormatPr defaultColWidth="8.7109375" defaultRowHeight="15" outlineLevelRow="1"/>
  <cols>
    <col min="1" max="1" width="38.42578125" style="58" bestFit="1" customWidth="1"/>
    <col min="2" max="2" width="12.28515625" style="1" customWidth="1"/>
    <col min="3" max="3" width="9" style="1" customWidth="1"/>
    <col min="4" max="4" width="9.5703125" style="1" bestFit="1" customWidth="1"/>
    <col min="5" max="8" width="9.7109375" style="1" bestFit="1" customWidth="1"/>
    <col min="9" max="18" width="11.28515625" style="1" bestFit="1" customWidth="1"/>
    <col min="19" max="19" width="26.5703125" bestFit="1" customWidth="1"/>
    <col min="21" max="16384" width="8.7109375" style="1"/>
  </cols>
  <sheetData>
    <row r="1" spans="1:19" ht="16.5" thickBot="1">
      <c r="A1" s="233" t="s">
        <v>22</v>
      </c>
      <c r="B1" s="24" t="s">
        <v>23</v>
      </c>
      <c r="C1" s="24" t="s">
        <v>24</v>
      </c>
      <c r="D1" s="24" t="s">
        <v>25</v>
      </c>
      <c r="E1" s="24" t="s">
        <v>26</v>
      </c>
      <c r="F1" s="24" t="s">
        <v>27</v>
      </c>
      <c r="G1" s="24" t="s">
        <v>28</v>
      </c>
      <c r="H1" s="25" t="s">
        <v>29</v>
      </c>
      <c r="I1" s="25" t="s">
        <v>30</v>
      </c>
      <c r="J1" s="25" t="s">
        <v>31</v>
      </c>
      <c r="K1" s="25" t="s">
        <v>32</v>
      </c>
      <c r="L1" s="25" t="s">
        <v>33</v>
      </c>
      <c r="M1" s="25" t="s">
        <v>34</v>
      </c>
      <c r="N1" s="25" t="s">
        <v>35</v>
      </c>
      <c r="O1" s="25" t="s">
        <v>36</v>
      </c>
      <c r="P1" s="25" t="s">
        <v>37</v>
      </c>
      <c r="Q1" s="25" t="s">
        <v>38</v>
      </c>
      <c r="R1" s="25" t="s">
        <v>39</v>
      </c>
    </row>
    <row r="2" spans="1:19" ht="13.9" customHeight="1">
      <c r="A2" s="57" t="s">
        <v>0</v>
      </c>
      <c r="B2" s="27">
        <v>-845</v>
      </c>
      <c r="C2" s="27">
        <v>469</v>
      </c>
      <c r="D2" s="27">
        <v>675</v>
      </c>
      <c r="E2" s="28">
        <v>228</v>
      </c>
      <c r="F2" s="29">
        <v>321</v>
      </c>
      <c r="G2" s="29">
        <v>382</v>
      </c>
      <c r="H2" s="30">
        <f>I2-SUM(E2:G2)</f>
        <v>424.45469678332597</v>
      </c>
      <c r="I2" s="156">
        <f>D2*(1+'Simu rates'!I3)</f>
        <v>1355.454696783326</v>
      </c>
      <c r="J2" s="156">
        <f>I2*(1+'Simu rates'!J3)</f>
        <v>2037.8143764956919</v>
      </c>
      <c r="K2" s="156">
        <f>J2*(1+'Simu rates'!K3)</f>
        <v>2792.073688302582</v>
      </c>
      <c r="L2" s="156">
        <f>K2*(1+'Simu rates'!L3)</f>
        <v>3689.674597042791</v>
      </c>
      <c r="M2" s="156">
        <f>L2*(1+'Simu rates'!M3)</f>
        <v>4401.1135941032016</v>
      </c>
      <c r="N2" s="156">
        <f>M2*(1+'Simu rates'!N3)</f>
        <v>5184.1077547570103</v>
      </c>
      <c r="O2" s="156">
        <f>N2*(1+'Simu rates'!O3)</f>
        <v>5976.3811923875055</v>
      </c>
      <c r="P2" s="156">
        <f>O2*(1+'Simu rates'!P3)</f>
        <v>6748.626859539464</v>
      </c>
      <c r="Q2" s="156">
        <f>P2*(1+'Simu rates'!Q3)</f>
        <v>7528.5204092549975</v>
      </c>
      <c r="R2" s="156">
        <f>Q2*(1+'Simu rates'!R3)</f>
        <v>8333.9978824817499</v>
      </c>
      <c r="S2" s="958" t="s">
        <v>692</v>
      </c>
    </row>
    <row r="3" spans="1:19">
      <c r="A3" s="59" t="s">
        <v>45</v>
      </c>
      <c r="B3" s="454">
        <f>B4-B2</f>
        <v>-673</v>
      </c>
      <c r="C3" s="454">
        <f t="shared" ref="C3:R3" si="0">C4-C2</f>
        <v>-576</v>
      </c>
      <c r="D3" s="454">
        <f t="shared" si="0"/>
        <v>-725</v>
      </c>
      <c r="E3" s="455">
        <f t="shared" si="0"/>
        <v>-276</v>
      </c>
      <c r="F3" s="454">
        <f t="shared" si="0"/>
        <v>-300</v>
      </c>
      <c r="G3" s="454">
        <f t="shared" si="0"/>
        <v>-283</v>
      </c>
      <c r="H3" s="35">
        <f t="shared" si="0"/>
        <v>-146.98573884364532</v>
      </c>
      <c r="I3" s="157">
        <f t="shared" si="0"/>
        <v>-1005.9857388436453</v>
      </c>
      <c r="J3" s="157">
        <f t="shared" si="0"/>
        <v>-1317.6414853176527</v>
      </c>
      <c r="K3" s="157">
        <f t="shared" si="0"/>
        <v>-1602.7900802248773</v>
      </c>
      <c r="L3" s="157">
        <f t="shared" si="0"/>
        <v>-1911.2731700815636</v>
      </c>
      <c r="M3" s="157">
        <f t="shared" si="0"/>
        <v>-2108.1725659051817</v>
      </c>
      <c r="N3" s="157">
        <f t="shared" si="0"/>
        <v>-2284.5631882190769</v>
      </c>
      <c r="O3" s="157">
        <f t="shared" si="0"/>
        <v>-2415.1686316562955</v>
      </c>
      <c r="P3" s="157">
        <f t="shared" si="0"/>
        <v>-2491.9827730646111</v>
      </c>
      <c r="Q3" s="157">
        <f t="shared" si="0"/>
        <v>-2529.8509457565679</v>
      </c>
      <c r="R3" s="157">
        <f t="shared" si="0"/>
        <v>-2533.6286438620464</v>
      </c>
      <c r="S3" s="958" t="s">
        <v>692</v>
      </c>
    </row>
    <row r="4" spans="1:19">
      <c r="A4" s="57" t="s">
        <v>46</v>
      </c>
      <c r="B4" s="36">
        <v>-1518</v>
      </c>
      <c r="C4" s="36">
        <v>-107</v>
      </c>
      <c r="D4" s="36">
        <v>-50</v>
      </c>
      <c r="E4" s="36">
        <v>-48</v>
      </c>
      <c r="F4" s="36">
        <v>21</v>
      </c>
      <c r="G4" s="36">
        <v>99</v>
      </c>
      <c r="H4" s="38">
        <f>I4-SUM(E4:G4)</f>
        <v>277.46895793968065</v>
      </c>
      <c r="I4" s="158">
        <f>I2*'Simu rates'!I31</f>
        <v>349.46895793968065</v>
      </c>
      <c r="J4" s="158">
        <f>J2*'Simu rates'!J31</f>
        <v>720.17289117803921</v>
      </c>
      <c r="K4" s="158">
        <f>K2*'Simu rates'!K31</f>
        <v>1189.2836080777047</v>
      </c>
      <c r="L4" s="158">
        <f>L2*'Simu rates'!L31</f>
        <v>1778.4014269612273</v>
      </c>
      <c r="M4" s="158">
        <f>M2*'Simu rates'!M31</f>
        <v>2292.9410281980199</v>
      </c>
      <c r="N4" s="158">
        <f>N2*'Simu rates'!N31</f>
        <v>2899.5445665379334</v>
      </c>
      <c r="O4" s="158">
        <f>O2*'Simu rates'!O31</f>
        <v>3561.21256073121</v>
      </c>
      <c r="P4" s="158">
        <f>P2*'Simu rates'!P31</f>
        <v>4256.6440864748529</v>
      </c>
      <c r="Q4" s="158">
        <f>Q2*'Simu rates'!Q31</f>
        <v>4998.6694634984296</v>
      </c>
      <c r="R4" s="158">
        <f>R2*'Simu rates'!R31</f>
        <v>5800.3692386197035</v>
      </c>
      <c r="S4" s="958" t="s">
        <v>692</v>
      </c>
    </row>
    <row r="5" spans="1:19">
      <c r="B5" s="953"/>
      <c r="C5" s="953"/>
      <c r="D5" s="953"/>
      <c r="E5" s="954"/>
      <c r="F5" s="953"/>
      <c r="G5" s="953"/>
      <c r="H5" s="953"/>
      <c r="I5" s="953"/>
      <c r="J5" s="953"/>
      <c r="K5" s="953"/>
      <c r="L5" s="953"/>
      <c r="M5" s="953"/>
      <c r="N5" s="953"/>
      <c r="O5" s="953"/>
      <c r="P5" s="953"/>
      <c r="Q5" s="953"/>
      <c r="R5" s="953"/>
      <c r="S5" s="295"/>
    </row>
    <row r="6" spans="1:19">
      <c r="A6" s="57" t="s">
        <v>47</v>
      </c>
      <c r="B6" s="951"/>
      <c r="C6" s="951"/>
      <c r="D6" s="951"/>
      <c r="E6" s="952"/>
      <c r="F6" s="951"/>
      <c r="G6" s="951"/>
      <c r="H6" s="955"/>
      <c r="I6" s="953"/>
      <c r="J6" s="953"/>
      <c r="K6" s="953"/>
      <c r="L6" s="953"/>
      <c r="M6" s="953"/>
      <c r="N6" s="953"/>
      <c r="O6" s="953"/>
      <c r="P6" s="953"/>
      <c r="Q6" s="953"/>
      <c r="R6" s="953"/>
      <c r="S6" s="295"/>
    </row>
    <row r="7" spans="1:19">
      <c r="A7" s="58" t="s">
        <v>688</v>
      </c>
      <c r="B7" s="131">
        <v>-759</v>
      </c>
      <c r="C7" s="131">
        <v>-701</v>
      </c>
      <c r="D7" s="131">
        <v>-1130</v>
      </c>
      <c r="E7" s="132">
        <v>-355</v>
      </c>
      <c r="F7" s="31">
        <v>-352</v>
      </c>
      <c r="G7" s="31">
        <v>-329</v>
      </c>
      <c r="H7" s="33">
        <f>I7-SUM(E7:G7)</f>
        <v>-374.25477142816521</v>
      </c>
      <c r="I7" s="131">
        <f>-I2*'Simu rates'!I4</f>
        <v>-1410.2547714281652</v>
      </c>
      <c r="J7" s="131">
        <f>-J2*'Simu rates'!J4</f>
        <v>-1712.6465679955595</v>
      </c>
      <c r="K7" s="131">
        <f>-K2*'Simu rates'!K4</f>
        <v>-2016.4087074374895</v>
      </c>
      <c r="L7" s="131">
        <f>-L2*'Simu rates'!L4</f>
        <v>-2338.5413642556723</v>
      </c>
      <c r="M7" s="131">
        <f>-M2*'Simu rates'!M4</f>
        <v>-2536.5540857933765</v>
      </c>
      <c r="N7" s="131">
        <f>-N2*'Simu rates'!N4</f>
        <v>-2720.4328738423824</v>
      </c>
      <c r="O7" s="131">
        <f>-O2*'Simu rates'!O4</f>
        <v>-2868.7938951544788</v>
      </c>
      <c r="P7" s="131">
        <f>-P2*'Simu rates'!P4</f>
        <v>-2975.8529618985731</v>
      </c>
      <c r="Q7" s="131">
        <f>-Q2*'Simu rates'!Q4</f>
        <v>-3060.5750051097302</v>
      </c>
      <c r="R7" s="131">
        <f>-R2*'Simu rates'!R4</f>
        <v>-3131.0484248294897</v>
      </c>
      <c r="S7" s="958" t="s">
        <v>690</v>
      </c>
    </row>
    <row r="8" spans="1:19">
      <c r="A8" s="58" t="s">
        <v>52</v>
      </c>
      <c r="B8" s="131">
        <v>-56</v>
      </c>
      <c r="C8" s="131">
        <v>-63</v>
      </c>
      <c r="D8" s="131">
        <v>-19</v>
      </c>
      <c r="E8" s="132">
        <v>-8</v>
      </c>
      <c r="F8" s="31">
        <v>-15</v>
      </c>
      <c r="G8" s="31">
        <v>-17</v>
      </c>
      <c r="H8" s="33">
        <v>-20</v>
      </c>
      <c r="I8" s="131">
        <v>-60</v>
      </c>
      <c r="J8" s="131">
        <v>-60</v>
      </c>
      <c r="K8" s="131">
        <v>-60</v>
      </c>
      <c r="L8" s="131">
        <v>-60</v>
      </c>
      <c r="M8" s="131">
        <v>-60</v>
      </c>
      <c r="N8" s="131">
        <v>-60</v>
      </c>
      <c r="O8" s="131">
        <v>-60</v>
      </c>
      <c r="P8" s="131">
        <v>-60</v>
      </c>
      <c r="Q8" s="131">
        <v>-60</v>
      </c>
      <c r="R8" s="131">
        <v>-60</v>
      </c>
      <c r="S8" s="958" t="s">
        <v>693</v>
      </c>
    </row>
    <row r="9" spans="1:19">
      <c r="A9" s="58" t="s">
        <v>53</v>
      </c>
      <c r="B9" s="131">
        <v>0</v>
      </c>
      <c r="C9" s="131">
        <v>0</v>
      </c>
      <c r="D9" s="131">
        <v>-353</v>
      </c>
      <c r="E9" s="132"/>
      <c r="F9" s="31"/>
      <c r="G9" s="31"/>
      <c r="H9" s="33">
        <v>0</v>
      </c>
      <c r="I9" s="131">
        <v>0</v>
      </c>
      <c r="J9" s="131">
        <v>0</v>
      </c>
      <c r="K9" s="131">
        <v>0</v>
      </c>
      <c r="L9" s="131">
        <v>0</v>
      </c>
      <c r="M9" s="131">
        <v>0</v>
      </c>
      <c r="N9" s="131">
        <v>0</v>
      </c>
      <c r="O9" s="131">
        <v>0</v>
      </c>
      <c r="P9" s="131">
        <v>0</v>
      </c>
      <c r="Q9" s="131">
        <v>0</v>
      </c>
      <c r="R9" s="131">
        <v>0</v>
      </c>
      <c r="S9" s="958" t="s">
        <v>693</v>
      </c>
    </row>
    <row r="10" spans="1:19">
      <c r="A10" s="59" t="s">
        <v>54</v>
      </c>
      <c r="B10" s="157">
        <v>0</v>
      </c>
      <c r="C10" s="157">
        <v>-8</v>
      </c>
      <c r="D10" s="157">
        <v>-8</v>
      </c>
      <c r="E10" s="198">
        <v>-1</v>
      </c>
      <c r="F10" s="34">
        <v>-1</v>
      </c>
      <c r="G10" s="34">
        <v>-4</v>
      </c>
      <c r="H10" s="35">
        <v>-4</v>
      </c>
      <c r="I10" s="157">
        <v>-10</v>
      </c>
      <c r="J10" s="157">
        <v>-10</v>
      </c>
      <c r="K10" s="157">
        <v>-10</v>
      </c>
      <c r="L10" s="157">
        <v>-10</v>
      </c>
      <c r="M10" s="157">
        <v>-10</v>
      </c>
      <c r="N10" s="157">
        <v>-10</v>
      </c>
      <c r="O10" s="157">
        <v>-10</v>
      </c>
      <c r="P10" s="157">
        <v>-10</v>
      </c>
      <c r="Q10" s="157">
        <v>-10</v>
      </c>
      <c r="R10" s="157">
        <v>-10</v>
      </c>
      <c r="S10" s="958" t="s">
        <v>693</v>
      </c>
    </row>
    <row r="11" spans="1:19">
      <c r="A11" s="57" t="s">
        <v>55</v>
      </c>
      <c r="B11" s="36">
        <f>B4+SUM(B7:B10)</f>
        <v>-2333</v>
      </c>
      <c r="C11" s="36">
        <f>C4+SUM(C7:C10)</f>
        <v>-879</v>
      </c>
      <c r="D11" s="36">
        <f>D4+SUM(D7:D10)</f>
        <v>-1560</v>
      </c>
      <c r="E11" s="37">
        <f>E4+SUM(E7:E10)</f>
        <v>-412</v>
      </c>
      <c r="F11" s="36">
        <f>F4+SUM(F7:F10)</f>
        <v>-347</v>
      </c>
      <c r="G11" s="36">
        <f>G4+SUM(G7:G10)</f>
        <v>-251</v>
      </c>
      <c r="H11" s="38">
        <f>H4+SUM(H7:H10)</f>
        <v>-120.78581348848456</v>
      </c>
      <c r="I11" s="36">
        <f>I4+SUM(I7:I10)</f>
        <v>-1130.7858134884846</v>
      </c>
      <c r="J11" s="36">
        <f>J4+SUM(J7:J10)</f>
        <v>-1062.4736768175203</v>
      </c>
      <c r="K11" s="36">
        <f>K4+SUM(K7:K10)</f>
        <v>-897.1250993597846</v>
      </c>
      <c r="L11" s="36">
        <f>L4+SUM(L7:L10)</f>
        <v>-630.13993729444496</v>
      </c>
      <c r="M11" s="36">
        <f>M4+SUM(M7:M10)</f>
        <v>-313.61305759535662</v>
      </c>
      <c r="N11" s="36">
        <f>N4+SUM(N7:N10)</f>
        <v>109.11169269555103</v>
      </c>
      <c r="O11" s="36">
        <f>O4+SUM(O7:O10)</f>
        <v>622.4186655767312</v>
      </c>
      <c r="P11" s="36">
        <f>P4+SUM(P7:P10)</f>
        <v>1210.7911245762798</v>
      </c>
      <c r="Q11" s="36">
        <f>Q4+SUM(Q7:Q10)</f>
        <v>1868.0944583886994</v>
      </c>
      <c r="R11" s="36">
        <f>R4+SUM(R7:R10)</f>
        <v>2599.3208137902138</v>
      </c>
    </row>
    <row r="12" spans="1:19">
      <c r="A12" s="57"/>
      <c r="B12" s="36"/>
      <c r="C12" s="36"/>
      <c r="D12" s="36"/>
      <c r="E12" s="37"/>
      <c r="F12" s="36"/>
      <c r="G12" s="36"/>
      <c r="H12" s="38"/>
      <c r="I12" s="36"/>
      <c r="J12" s="36"/>
      <c r="K12" s="36"/>
      <c r="L12" s="36"/>
      <c r="M12" s="36"/>
      <c r="N12" s="36"/>
      <c r="O12" s="36"/>
      <c r="P12" s="36"/>
      <c r="Q12" s="36"/>
      <c r="R12" s="36"/>
    </row>
    <row r="13" spans="1:19">
      <c r="A13" s="57"/>
      <c r="B13" s="36"/>
      <c r="C13" s="36"/>
      <c r="D13" s="36"/>
      <c r="E13" s="37"/>
      <c r="F13" s="36"/>
      <c r="G13" s="36"/>
      <c r="H13" s="38"/>
      <c r="I13" s="36"/>
      <c r="J13" s="36"/>
      <c r="K13" s="36"/>
      <c r="L13" s="36"/>
      <c r="M13" s="36"/>
      <c r="N13" s="36"/>
      <c r="O13" s="36"/>
      <c r="P13" s="36"/>
      <c r="Q13" s="36"/>
      <c r="R13" s="36"/>
    </row>
    <row r="14" spans="1:19">
      <c r="A14" s="57"/>
      <c r="B14" s="36"/>
      <c r="C14" s="36"/>
      <c r="D14" s="36"/>
      <c r="E14" s="37"/>
      <c r="F14" s="36"/>
      <c r="G14" s="36"/>
      <c r="H14" s="38"/>
      <c r="I14" s="36"/>
      <c r="J14" s="36"/>
      <c r="K14" s="36"/>
      <c r="L14" s="36"/>
      <c r="M14" s="36"/>
      <c r="N14" s="36"/>
      <c r="O14" s="36"/>
      <c r="P14" s="36"/>
      <c r="Q14" s="36"/>
      <c r="R14" s="36"/>
    </row>
    <row r="15" spans="1:19">
      <c r="A15" s="962" t="s">
        <v>56</v>
      </c>
      <c r="B15" s="961">
        <v>-109</v>
      </c>
      <c r="C15" s="961">
        <v>-126</v>
      </c>
      <c r="D15" s="961">
        <v>-109</v>
      </c>
      <c r="E15" s="963">
        <v>-30</v>
      </c>
      <c r="F15" s="964">
        <v>-32</v>
      </c>
      <c r="G15" s="964">
        <v>-34</v>
      </c>
      <c r="H15" s="965">
        <f ca="1">I15-SUM(E15:G15)</f>
        <v>-35.123145317149039</v>
      </c>
      <c r="I15" s="961">
        <f ca="1">-((D76+I76)/2)*'Simu rates'!I8</f>
        <v>-131.12314531714904</v>
      </c>
      <c r="J15" s="961">
        <f ca="1">-((I76+J76)/2)*'Simu rates'!J8</f>
        <v>-117.69990838354279</v>
      </c>
      <c r="K15" s="961">
        <f ca="1">-((J76+K76)/2)*'Simu rates'!K8</f>
        <v>-146.8850709966421</v>
      </c>
      <c r="L15" s="961">
        <f ca="1">-((K76+L76)/2)*'Simu rates'!L8</f>
        <v>-179.06178073309189</v>
      </c>
      <c r="M15" s="961">
        <f ca="1">-((L76+M76)/2)*'Simu rates'!M8</f>
        <v>-214.65081226134902</v>
      </c>
      <c r="N15" s="961">
        <f ca="1">-((M76+N76)/2)*'Simu rates'!N8</f>
        <v>-254.41251764706232</v>
      </c>
      <c r="O15" s="961">
        <f ca="1">-((N76+O76)/2)*'Simu rates'!O8</f>
        <v>-299.32387213077561</v>
      </c>
      <c r="P15" s="961">
        <f ca="1">-((O76+P76)/2)*'Simu rates'!P8</f>
        <v>-347.7487122063871</v>
      </c>
      <c r="Q15" s="961">
        <f ca="1">-((P76+Q76)/2)*'Simu rates'!Q8</f>
        <v>-399.80597679393583</v>
      </c>
      <c r="R15" s="961">
        <f ca="1">-((Q76+R76)/2)*'Simu rates'!R8</f>
        <v>-456.56309325493362</v>
      </c>
      <c r="S15" s="958" t="s">
        <v>696</v>
      </c>
    </row>
    <row r="16" spans="1:19">
      <c r="A16" s="962" t="s">
        <v>57</v>
      </c>
      <c r="B16" s="961">
        <v>-538</v>
      </c>
      <c r="C16" s="961">
        <v>-261</v>
      </c>
      <c r="D16" s="961">
        <v>-236</v>
      </c>
      <c r="E16" s="963">
        <v>-4</v>
      </c>
      <c r="F16" s="964">
        <v>-5</v>
      </c>
      <c r="G16" s="964">
        <v>-4</v>
      </c>
      <c r="H16" s="965">
        <f t="shared" ref="H16:H17" ca="1" si="1">I16-SUM(E16:G16)</f>
        <v>-7.2485705680122017</v>
      </c>
      <c r="I16" s="961">
        <f ca="1">-((I79+D79)/2)*'Simu rates'!I9</f>
        <v>-20.248570568012202</v>
      </c>
      <c r="J16" s="961">
        <f ca="1">-((J79+I79)/2)*'Simu rates'!J9</f>
        <v>-25.525284263305746</v>
      </c>
      <c r="K16" s="961">
        <f ca="1">-((K79+J79)/2)*'Simu rates'!K9</f>
        <v>-29.811906957318886</v>
      </c>
      <c r="L16" s="961">
        <f ca="1">-((L79+K79)/2)*'Simu rates'!L9</f>
        <v>-34.541952786677221</v>
      </c>
      <c r="M16" s="961">
        <f ca="1">-((M79+L79)/2)*'Simu rates'!M9</f>
        <v>-39.138226489560182</v>
      </c>
      <c r="N16" s="961">
        <f ca="1">-((N79+M79)/2)*'Simu rates'!N9</f>
        <v>-43.980449830018124</v>
      </c>
      <c r="O16" s="961">
        <f ca="1">-((O79+N79)/2)*'Simu rates'!O9</f>
        <v>-48.835731859249854</v>
      </c>
      <c r="P16" s="961">
        <f ca="1">-((P79+O79)/2)*'Simu rates'!P9</f>
        <v>-53.512732713551102</v>
      </c>
      <c r="Q16" s="961">
        <f ca="1">-((Q79+P79)/2)*'Simu rates'!Q9</f>
        <v>-58.30664865816771</v>
      </c>
      <c r="R16" s="961">
        <f ca="1">-((R79+Q79)/2)*'Simu rates'!R9</f>
        <v>-63.326727564323654</v>
      </c>
      <c r="S16" s="958" t="s">
        <v>696</v>
      </c>
    </row>
    <row r="17" spans="1:28">
      <c r="A17" s="966" t="s">
        <v>58</v>
      </c>
      <c r="B17" s="967">
        <v>-30</v>
      </c>
      <c r="C17" s="967">
        <v>-40</v>
      </c>
      <c r="D17" s="967">
        <v>-11</v>
      </c>
      <c r="E17" s="968">
        <v>0</v>
      </c>
      <c r="F17" s="969">
        <v>-1</v>
      </c>
      <c r="G17" s="969">
        <v>-5</v>
      </c>
      <c r="H17" s="970">
        <f t="shared" si="1"/>
        <v>-5</v>
      </c>
      <c r="I17" s="967">
        <v>-11</v>
      </c>
      <c r="J17" s="967">
        <v>-11</v>
      </c>
      <c r="K17" s="967">
        <v>-11</v>
      </c>
      <c r="L17" s="967">
        <v>-11</v>
      </c>
      <c r="M17" s="967">
        <v>-11</v>
      </c>
      <c r="N17" s="967">
        <v>-11</v>
      </c>
      <c r="O17" s="967">
        <v>-11</v>
      </c>
      <c r="P17" s="967">
        <v>-11</v>
      </c>
      <c r="Q17" s="967">
        <v>-11</v>
      </c>
      <c r="R17" s="967">
        <v>-11</v>
      </c>
      <c r="S17" s="958" t="s">
        <v>693</v>
      </c>
    </row>
    <row r="18" spans="1:28">
      <c r="A18" s="971" t="s">
        <v>59</v>
      </c>
      <c r="B18" s="972">
        <v>-3010</v>
      </c>
      <c r="C18" s="972">
        <v>-1306</v>
      </c>
      <c r="D18" s="972">
        <v>-1916</v>
      </c>
      <c r="E18" s="973">
        <v>-446</v>
      </c>
      <c r="F18" s="972">
        <v>-385</v>
      </c>
      <c r="G18" s="972">
        <v>-294</v>
      </c>
      <c r="H18" s="974">
        <f ca="1">I18-SUM(E18:G18)</f>
        <v>-168.15752937364573</v>
      </c>
      <c r="I18" s="972">
        <f ca="1">I11+SUM(I15:I17)</f>
        <v>-1293.1575293736457</v>
      </c>
      <c r="J18" s="972">
        <f t="shared" ref="J18:R18" ca="1" si="2">J11+SUM(J15:J17)</f>
        <v>-1216.6988694643687</v>
      </c>
      <c r="K18" s="972">
        <f t="shared" ca="1" si="2"/>
        <v>-1084.8220773137455</v>
      </c>
      <c r="L18" s="972">
        <f t="shared" ca="1" si="2"/>
        <v>-854.74367081421406</v>
      </c>
      <c r="M18" s="972">
        <f t="shared" ca="1" si="2"/>
        <v>-578.40209634626581</v>
      </c>
      <c r="N18" s="972">
        <f t="shared" ca="1" si="2"/>
        <v>-200.28127478152942</v>
      </c>
      <c r="O18" s="972">
        <f t="shared" ca="1" si="2"/>
        <v>263.25906158670574</v>
      </c>
      <c r="P18" s="972">
        <f t="shared" ca="1" si="2"/>
        <v>798.52967965634161</v>
      </c>
      <c r="Q18" s="972">
        <f t="shared" ca="1" si="2"/>
        <v>1398.9818329365958</v>
      </c>
      <c r="R18" s="972">
        <f t="shared" ca="1" si="2"/>
        <v>2068.4309929709566</v>
      </c>
      <c r="S18" s="958" t="s">
        <v>692</v>
      </c>
    </row>
    <row r="19" spans="1:28">
      <c r="A19" s="57"/>
      <c r="B19" s="36"/>
      <c r="C19" s="36"/>
      <c r="D19" s="36"/>
      <c r="E19" s="37"/>
      <c r="F19" s="36"/>
      <c r="G19" s="36"/>
      <c r="H19" s="38"/>
      <c r="I19" s="972"/>
      <c r="J19" s="972"/>
      <c r="K19" s="972"/>
      <c r="L19" s="972"/>
      <c r="M19" s="972"/>
      <c r="N19" s="972"/>
      <c r="O19" s="972"/>
      <c r="P19" s="972"/>
      <c r="Q19" s="972"/>
      <c r="R19" s="972"/>
    </row>
    <row r="20" spans="1:28">
      <c r="A20" s="57"/>
      <c r="B20" s="36"/>
      <c r="C20" s="36"/>
      <c r="D20" s="36"/>
      <c r="E20" s="37"/>
      <c r="F20" s="36"/>
      <c r="G20" s="36"/>
      <c r="H20" s="38"/>
      <c r="I20" s="36"/>
      <c r="J20" s="36"/>
      <c r="K20" s="36"/>
      <c r="L20" s="36"/>
      <c r="M20" s="36"/>
      <c r="N20" s="36"/>
      <c r="O20" s="36"/>
      <c r="P20" s="36"/>
      <c r="Q20" s="36"/>
      <c r="R20" s="36"/>
    </row>
    <row r="21" spans="1:28">
      <c r="B21" s="31"/>
      <c r="C21" s="31"/>
      <c r="D21" s="31"/>
      <c r="E21" s="32"/>
      <c r="F21" s="31"/>
      <c r="G21" s="31"/>
      <c r="H21" s="33"/>
      <c r="I21" s="31"/>
      <c r="J21" s="31"/>
      <c r="K21" s="31"/>
      <c r="L21" s="31"/>
      <c r="M21" s="31"/>
      <c r="N21" s="31"/>
      <c r="O21" s="31"/>
      <c r="P21" s="31"/>
      <c r="Q21" s="31"/>
      <c r="R21" s="31"/>
    </row>
    <row r="22" spans="1:28">
      <c r="A22" s="962" t="s">
        <v>60</v>
      </c>
      <c r="B22" s="961">
        <v>85</v>
      </c>
      <c r="C22" s="961">
        <v>53</v>
      </c>
      <c r="D22" s="961">
        <v>65</v>
      </c>
      <c r="E22" s="963">
        <v>49</v>
      </c>
      <c r="F22" s="964">
        <v>-16</v>
      </c>
      <c r="G22" s="964">
        <v>38</v>
      </c>
      <c r="H22" s="965">
        <v>4.3985578322861727</v>
      </c>
      <c r="I22" s="961">
        <f>((D35+I35)/2)*'Simu rates'!I24</f>
        <v>75.398557832286173</v>
      </c>
      <c r="J22" s="961">
        <f>((I35+J35)/2)*'Simu rates'!J24</f>
        <v>72.57581025368502</v>
      </c>
      <c r="K22" s="961">
        <f>((J35+K35)/2)*'Simu rates'!K24</f>
        <v>66.240260561220239</v>
      </c>
      <c r="L22" s="961">
        <f>((K35+L35)/2)*'Simu rates'!L24</f>
        <v>62.446233156648695</v>
      </c>
      <c r="M22" s="961">
        <f>((L35+M35)/2)*'Simu rates'!M24</f>
        <v>60.271241867125632</v>
      </c>
      <c r="N22" s="961">
        <f>((M35+N35)/2)*'Simu rates'!N24</f>
        <v>59.712973558464228</v>
      </c>
      <c r="O22" s="961">
        <f>((N35+O35)/2)*'Simu rates'!O24</f>
        <v>63.404346975040248</v>
      </c>
      <c r="P22" s="961">
        <f>((O35+P35)/2)*'Simu rates'!P24</f>
        <v>71.020620072836806</v>
      </c>
      <c r="Q22" s="961">
        <f>((P35+Q35)/2)*'Simu rates'!Q24</f>
        <v>82.998339040152487</v>
      </c>
      <c r="R22" s="961">
        <f>((Q35+R35)/2)*'Simu rates'!R24</f>
        <v>100.46096950271412</v>
      </c>
      <c r="S22" s="958" t="s">
        <v>696</v>
      </c>
    </row>
    <row r="23" spans="1:28">
      <c r="A23" s="966" t="s">
        <v>61</v>
      </c>
      <c r="B23" s="967">
        <v>-1056</v>
      </c>
      <c r="C23" s="967">
        <v>-1490</v>
      </c>
      <c r="D23" s="967">
        <v>-1701</v>
      </c>
      <c r="E23" s="968">
        <v>-37</v>
      </c>
      <c r="F23" s="969">
        <v>-169</v>
      </c>
      <c r="G23" s="969">
        <v>-82</v>
      </c>
      <c r="H23" s="970">
        <v>190.60344827586206</v>
      </c>
      <c r="I23" s="967">
        <f>-((D59+I59)/2)*'Simu rates'!I25</f>
        <v>-97.396551724137936</v>
      </c>
      <c r="J23" s="967">
        <f>-((I59+J59)/2)*'Simu rates'!J25</f>
        <v>-96.744827586206895</v>
      </c>
      <c r="K23" s="967">
        <f>-((J59+K59)/2)*'Simu rates'!K25</f>
        <v>-96.744827586206895</v>
      </c>
      <c r="L23" s="967">
        <f>-((K59+L59)/2)*'Simu rates'!L25</f>
        <v>-96.744827586206895</v>
      </c>
      <c r="M23" s="967">
        <f>-((L59+M59)/2)*'Simu rates'!M25</f>
        <v>-96.744827586206895</v>
      </c>
      <c r="N23" s="967">
        <f>-((M59+N59)/2)*'Simu rates'!N25</f>
        <v>-96.744827586206895</v>
      </c>
      <c r="O23" s="967">
        <f>-((N59+O59)/2)*'Simu rates'!O25</f>
        <v>-96.744827586206895</v>
      </c>
      <c r="P23" s="967">
        <f>-((O59+P59)/2)*'Simu rates'!P25</f>
        <v>-96.744827586206895</v>
      </c>
      <c r="Q23" s="967">
        <f>-((P59+Q59)/2)*'Simu rates'!Q25</f>
        <v>-96.744827586206895</v>
      </c>
      <c r="R23" s="967">
        <f>-((Q59+R59)/2)*'Simu rates'!R25</f>
        <v>-96.744827586206895</v>
      </c>
      <c r="S23" s="958" t="s">
        <v>696</v>
      </c>
    </row>
    <row r="24" spans="1:28">
      <c r="A24" s="971" t="s">
        <v>62</v>
      </c>
      <c r="B24" s="972">
        <v>-3981</v>
      </c>
      <c r="C24" s="972">
        <v>-2743</v>
      </c>
      <c r="D24" s="972">
        <v>-3552</v>
      </c>
      <c r="E24" s="973">
        <v>-434</v>
      </c>
      <c r="F24" s="972">
        <v>-570</v>
      </c>
      <c r="G24" s="972">
        <v>-338</v>
      </c>
      <c r="H24" s="974">
        <v>26.844476734502393</v>
      </c>
      <c r="I24" s="972">
        <f ca="1">I18+SUM(I22:I23)</f>
        <v>-1315.1555232654975</v>
      </c>
      <c r="J24" s="972">
        <f t="shared" ref="J24:R24" ca="1" si="3">J18+SUM(J22:J23)</f>
        <v>-1240.8678867968906</v>
      </c>
      <c r="K24" s="972">
        <f t="shared" ca="1" si="3"/>
        <v>-1115.3266443387322</v>
      </c>
      <c r="L24" s="972">
        <f t="shared" ca="1" si="3"/>
        <v>-889.04226524377225</v>
      </c>
      <c r="M24" s="972">
        <f t="shared" ca="1" si="3"/>
        <v>-614.87568206534706</v>
      </c>
      <c r="N24" s="972">
        <f t="shared" ca="1" si="3"/>
        <v>-237.31312880927209</v>
      </c>
      <c r="O24" s="972">
        <f t="shared" ca="1" si="3"/>
        <v>229.9185809755391</v>
      </c>
      <c r="P24" s="972">
        <f t="shared" ca="1" si="3"/>
        <v>772.80547214297155</v>
      </c>
      <c r="Q24" s="972">
        <f t="shared" ca="1" si="3"/>
        <v>1385.2353443905413</v>
      </c>
      <c r="R24" s="972">
        <f t="shared" ca="1" si="3"/>
        <v>2072.1471348874638</v>
      </c>
      <c r="S24" s="958" t="s">
        <v>692</v>
      </c>
    </row>
    <row r="25" spans="1:28">
      <c r="A25" s="57"/>
      <c r="B25" s="36"/>
      <c r="C25" s="36"/>
      <c r="D25" s="36"/>
      <c r="E25" s="37"/>
      <c r="F25" s="36"/>
      <c r="G25" s="36"/>
      <c r="H25" s="38"/>
      <c r="I25" s="36"/>
      <c r="J25" s="36"/>
      <c r="K25" s="36"/>
      <c r="L25" s="36"/>
      <c r="M25" s="36"/>
      <c r="N25" s="36"/>
      <c r="O25" s="36"/>
      <c r="P25" s="36"/>
      <c r="Q25" s="36"/>
      <c r="R25" s="36"/>
    </row>
    <row r="26" spans="1:28">
      <c r="A26" s="57"/>
      <c r="B26" s="36"/>
      <c r="C26" s="36"/>
      <c r="D26" s="36"/>
      <c r="E26" s="37"/>
      <c r="F26" s="36"/>
      <c r="G26" s="36"/>
      <c r="H26" s="38"/>
      <c r="I26" s="36"/>
      <c r="J26" s="36"/>
      <c r="K26" s="36"/>
      <c r="L26" s="36"/>
      <c r="M26" s="36"/>
      <c r="N26" s="36"/>
      <c r="O26" s="36"/>
      <c r="P26" s="36"/>
      <c r="Q26" s="36"/>
      <c r="R26" s="36"/>
    </row>
    <row r="27" spans="1:28">
      <c r="B27" s="31"/>
      <c r="C27" s="31"/>
      <c r="D27" s="31"/>
      <c r="E27" s="32"/>
      <c r="F27" s="31"/>
      <c r="G27" s="31"/>
      <c r="H27" s="33"/>
    </row>
    <row r="28" spans="1:28">
      <c r="A28" s="962" t="s">
        <v>63</v>
      </c>
      <c r="B28" s="961">
        <v>-7</v>
      </c>
      <c r="C28" s="961">
        <v>-2</v>
      </c>
      <c r="D28" s="961">
        <v>-3</v>
      </c>
      <c r="E28" s="975">
        <v>-1</v>
      </c>
      <c r="F28" s="964">
        <v>-2</v>
      </c>
      <c r="G28" s="964">
        <v>-4</v>
      </c>
      <c r="H28" s="965">
        <f ca="1">I28-SUM(E28:G28)</f>
        <v>-3</v>
      </c>
      <c r="I28" s="961">
        <f ca="1">MIN(-10,-I24*0.2)</f>
        <v>-10</v>
      </c>
      <c r="J28" s="961">
        <f t="shared" ref="J28:R28" ca="1" si="4">MIN(-10,-J24*0.2)</f>
        <v>-10</v>
      </c>
      <c r="K28" s="961">
        <f t="shared" ca="1" si="4"/>
        <v>-10</v>
      </c>
      <c r="L28" s="961">
        <f t="shared" ca="1" si="4"/>
        <v>-10</v>
      </c>
      <c r="M28" s="961">
        <f t="shared" ca="1" si="4"/>
        <v>-10</v>
      </c>
      <c r="N28" s="961">
        <f t="shared" ca="1" si="4"/>
        <v>-10</v>
      </c>
      <c r="O28" s="961">
        <f t="shared" ca="1" si="4"/>
        <v>-45.983716195107824</v>
      </c>
      <c r="P28" s="961">
        <f t="shared" ca="1" si="4"/>
        <v>-154.56109442859432</v>
      </c>
      <c r="Q28" s="961">
        <f t="shared" ca="1" si="4"/>
        <v>-277.04706887810829</v>
      </c>
      <c r="R28" s="961">
        <f t="shared" ca="1" si="4"/>
        <v>-414.42942697749277</v>
      </c>
      <c r="S28" s="958" t="s">
        <v>692</v>
      </c>
    </row>
    <row r="29" spans="1:28">
      <c r="A29" s="976" t="s">
        <v>64</v>
      </c>
      <c r="B29" s="977">
        <v>-3988</v>
      </c>
      <c r="C29" s="977">
        <v>-2745</v>
      </c>
      <c r="D29" s="977">
        <v>-3555</v>
      </c>
      <c r="E29" s="978">
        <v>-435</v>
      </c>
      <c r="F29" s="977">
        <v>-572</v>
      </c>
      <c r="G29" s="977">
        <v>-342</v>
      </c>
      <c r="H29" s="979">
        <v>23.844476734502393</v>
      </c>
      <c r="I29" s="977">
        <f ca="1">I24+I28</f>
        <v>-1325.1555232654975</v>
      </c>
      <c r="J29" s="977">
        <f t="shared" ref="J29:R29" ca="1" si="5">J24+J28</f>
        <v>-1250.8678867968906</v>
      </c>
      <c r="K29" s="977">
        <f t="shared" ca="1" si="5"/>
        <v>-1125.3266443387322</v>
      </c>
      <c r="L29" s="977">
        <f t="shared" ca="1" si="5"/>
        <v>-899.04226524377225</v>
      </c>
      <c r="M29" s="977">
        <f t="shared" ca="1" si="5"/>
        <v>-624.87568206534706</v>
      </c>
      <c r="N29" s="977">
        <f t="shared" ca="1" si="5"/>
        <v>-247.31312880927209</v>
      </c>
      <c r="O29" s="977">
        <f t="shared" ca="1" si="5"/>
        <v>183.93486478043127</v>
      </c>
      <c r="P29" s="977">
        <f t="shared" ca="1" si="5"/>
        <v>618.24437771437726</v>
      </c>
      <c r="Q29" s="977">
        <f t="shared" ca="1" si="5"/>
        <v>1108.1882755124329</v>
      </c>
      <c r="R29" s="977">
        <f t="shared" ca="1" si="5"/>
        <v>1657.7177079099711</v>
      </c>
      <c r="S29" s="958" t="s">
        <v>692</v>
      </c>
      <c r="T29" s="31"/>
      <c r="U29" s="31"/>
      <c r="V29" s="31"/>
      <c r="W29" s="31"/>
      <c r="X29" s="31"/>
      <c r="Y29" s="31"/>
      <c r="Z29" s="31"/>
      <c r="AA29" s="31"/>
      <c r="AB29" s="31"/>
    </row>
    <row r="30" spans="1:28">
      <c r="A30" s="962" t="s">
        <v>65</v>
      </c>
      <c r="B30" s="961">
        <v>0</v>
      </c>
      <c r="C30" s="961">
        <v>0</v>
      </c>
      <c r="D30" s="961">
        <v>0</v>
      </c>
      <c r="E30" s="975">
        <v>0</v>
      </c>
      <c r="F30" s="964">
        <v>0</v>
      </c>
      <c r="G30" s="964">
        <v>0</v>
      </c>
      <c r="H30" s="965">
        <v>0</v>
      </c>
      <c r="I30" s="964">
        <f ca="1">IF(I29&lt;0,0,-I29*'Simu rates'!I27)</f>
        <v>0</v>
      </c>
      <c r="J30" s="964">
        <f ca="1">IF(J29&lt;0,0,-J29*'Simu rates'!J27)</f>
        <v>0</v>
      </c>
      <c r="K30" s="964">
        <f ca="1">IF(K29&lt;0,0,-K29*'Simu rates'!K27)</f>
        <v>0</v>
      </c>
      <c r="L30" s="964">
        <f ca="1">IF(L29&lt;0,0,-L29*'Simu rates'!L27)</f>
        <v>0</v>
      </c>
      <c r="M30" s="964">
        <f ca="1">IF(M29&lt;0,0,-M29*'Simu rates'!M27)</f>
        <v>0</v>
      </c>
      <c r="N30" s="964">
        <f ca="1">IF(N29&lt;0,0,-N29*'Simu rates'!N27)</f>
        <v>0</v>
      </c>
      <c r="O30" s="964">
        <f ca="1">IF(O29&lt;0,0,-O29*'Simu rates'!O27)</f>
        <v>-16.554137830238815</v>
      </c>
      <c r="P30" s="964">
        <f ca="1">IF(P29&lt;0,0,-P29*'Simu rates'!P27)</f>
        <v>-55.641993994293955</v>
      </c>
      <c r="Q30" s="964">
        <f ca="1">IF(Q29&lt;0,0,-Q29*'Simu rates'!Q27)</f>
        <v>-99.736944796118962</v>
      </c>
      <c r="R30" s="964">
        <f ca="1">IF(R29&lt;0,0,-R29*'Simu rates'!R27)</f>
        <v>-149.1945937118974</v>
      </c>
      <c r="S30" s="958" t="s">
        <v>692</v>
      </c>
    </row>
    <row r="31" spans="1:28" ht="15.75" thickBot="1">
      <c r="A31" s="980" t="s">
        <v>66</v>
      </c>
      <c r="B31" s="981">
        <v>-3988</v>
      </c>
      <c r="C31" s="981">
        <v>-2745</v>
      </c>
      <c r="D31" s="981">
        <v>-3555</v>
      </c>
      <c r="E31" s="982">
        <v>-435</v>
      </c>
      <c r="F31" s="981">
        <v>-572</v>
      </c>
      <c r="G31" s="981">
        <v>-342</v>
      </c>
      <c r="H31" s="983">
        <v>23.844476734502393</v>
      </c>
      <c r="I31" s="981">
        <f ca="1">I29+I30</f>
        <v>-1325.1555232654975</v>
      </c>
      <c r="J31" s="981">
        <f t="shared" ref="J31:R31" ca="1" si="6">J29+J30</f>
        <v>-1250.8678867968906</v>
      </c>
      <c r="K31" s="981">
        <f t="shared" ca="1" si="6"/>
        <v>-1125.3266443387322</v>
      </c>
      <c r="L31" s="981">
        <f t="shared" ca="1" si="6"/>
        <v>-899.04226524377225</v>
      </c>
      <c r="M31" s="981">
        <f t="shared" ca="1" si="6"/>
        <v>-624.87568206534706</v>
      </c>
      <c r="N31" s="981">
        <f t="shared" ca="1" si="6"/>
        <v>-247.31312880927209</v>
      </c>
      <c r="O31" s="981">
        <f t="shared" ca="1" si="6"/>
        <v>167.38072695019247</v>
      </c>
      <c r="P31" s="981">
        <f t="shared" ca="1" si="6"/>
        <v>562.60238372008325</v>
      </c>
      <c r="Q31" s="981">
        <f t="shared" ca="1" si="6"/>
        <v>1008.451330716314</v>
      </c>
      <c r="R31" s="981">
        <f t="shared" ca="1" si="6"/>
        <v>1508.5231141980737</v>
      </c>
      <c r="S31" s="958" t="s">
        <v>692</v>
      </c>
    </row>
    <row r="32" spans="1:28" ht="15.75" thickTop="1">
      <c r="B32" s="31"/>
      <c r="C32" s="31"/>
      <c r="D32" s="31"/>
      <c r="E32" s="32"/>
      <c r="F32" s="31"/>
      <c r="G32" s="31"/>
      <c r="H32" s="39"/>
      <c r="I32" s="31"/>
      <c r="J32" s="31"/>
      <c r="K32" s="31"/>
      <c r="L32" s="31"/>
      <c r="M32" s="31"/>
      <c r="N32" s="31"/>
      <c r="O32" s="31"/>
      <c r="P32" s="31"/>
      <c r="Q32" s="31"/>
      <c r="R32" s="31"/>
    </row>
    <row r="33" spans="1:19">
      <c r="A33" s="58" t="s">
        <v>67</v>
      </c>
      <c r="B33" s="31"/>
      <c r="C33" s="31"/>
      <c r="D33" s="31"/>
      <c r="E33" s="32"/>
      <c r="F33" s="31"/>
      <c r="G33" s="31"/>
      <c r="H33" s="39"/>
      <c r="I33" s="956"/>
      <c r="J33" s="956"/>
      <c r="K33" s="956"/>
      <c r="L33" s="957"/>
      <c r="M33" s="956"/>
      <c r="N33" s="956"/>
      <c r="O33" s="956"/>
      <c r="P33" s="956"/>
      <c r="Q33" s="956"/>
      <c r="R33" s="956"/>
    </row>
    <row r="34" spans="1:19" ht="15.75" outlineLevel="1" thickBot="1">
      <c r="A34" s="58" t="s">
        <v>68</v>
      </c>
      <c r="B34" s="27">
        <v>2000</v>
      </c>
      <c r="C34" s="31"/>
      <c r="D34" s="31"/>
      <c r="E34" s="32"/>
      <c r="F34" s="31"/>
      <c r="G34" s="31"/>
      <c r="H34" s="39"/>
      <c r="I34" s="31"/>
      <c r="J34" s="31"/>
      <c r="K34" s="31"/>
      <c r="L34" s="31"/>
      <c r="M34" s="31"/>
      <c r="N34" s="31"/>
      <c r="O34" s="31"/>
      <c r="P34" s="31"/>
      <c r="Q34" s="31"/>
      <c r="R34" s="31"/>
    </row>
    <row r="35" spans="1:19" outlineLevel="1">
      <c r="A35" s="58" t="s">
        <v>69</v>
      </c>
      <c r="B35" s="131">
        <v>1372</v>
      </c>
      <c r="C35" s="131">
        <v>2173</v>
      </c>
      <c r="D35" s="131">
        <v>4991</v>
      </c>
      <c r="E35" s="277">
        <v>3387</v>
      </c>
      <c r="F35" s="278">
        <v>2793</v>
      </c>
      <c r="G35" s="278">
        <v>2447</v>
      </c>
      <c r="H35" s="140"/>
      <c r="I35" s="131">
        <f>I73-I48-I39-I38-I37-I36</f>
        <v>5062.1410443048226</v>
      </c>
      <c r="J35" s="131">
        <f t="shared" ref="J35:R35" si="7">J73-J48-J39-J38-J37-J36</f>
        <v>4614.6336561865146</v>
      </c>
      <c r="K35" s="131">
        <f t="shared" si="7"/>
        <v>4217.4010853095178</v>
      </c>
      <c r="L35" s="131">
        <f t="shared" si="7"/>
        <v>4108.7633355769758</v>
      </c>
      <c r="M35" s="131">
        <f t="shared" si="7"/>
        <v>3927.4022467064419</v>
      </c>
      <c r="N35" s="131">
        <f t="shared" si="7"/>
        <v>4034.327561088789</v>
      </c>
      <c r="O35" s="131">
        <f t="shared" si="7"/>
        <v>4419.5853689165779</v>
      </c>
      <c r="P35" s="131">
        <f t="shared" si="7"/>
        <v>5049.8306407949976</v>
      </c>
      <c r="Q35" s="131">
        <f t="shared" si="7"/>
        <v>6016.6145645586676</v>
      </c>
      <c r="R35" s="131">
        <f t="shared" si="7"/>
        <v>7378.1813691365496</v>
      </c>
      <c r="S35" s="958" t="s">
        <v>692</v>
      </c>
    </row>
    <row r="36" spans="1:19" outlineLevel="1">
      <c r="A36" s="58" t="s">
        <v>70</v>
      </c>
      <c r="B36" s="131">
        <v>5</v>
      </c>
      <c r="C36" s="131">
        <v>3</v>
      </c>
      <c r="D36" s="131">
        <v>4</v>
      </c>
      <c r="E36" s="132">
        <v>45</v>
      </c>
      <c r="F36" s="131">
        <v>47</v>
      </c>
      <c r="G36" s="131">
        <v>42</v>
      </c>
      <c r="H36" s="141"/>
      <c r="I36" s="131">
        <f>-I3/'Simu rates'!I13</f>
        <v>40.239429553745815</v>
      </c>
      <c r="J36" s="131">
        <f>-J3/'Simu rates'!J13</f>
        <v>52.705659412706112</v>
      </c>
      <c r="K36" s="131">
        <f>-K3/'Simu rates'!K13</f>
        <v>64.111603208995092</v>
      </c>
      <c r="L36" s="131">
        <f>-L3/'Simu rates'!L13</f>
        <v>76.450926803262547</v>
      </c>
      <c r="M36" s="131">
        <f>-M3/'Simu rates'!M13</f>
        <v>84.326902636207265</v>
      </c>
      <c r="N36" s="131">
        <f>-N3/'Simu rates'!N13</f>
        <v>91.382527528763077</v>
      </c>
      <c r="O36" s="131">
        <f>-O3/'Simu rates'!O13</f>
        <v>96.606745266251821</v>
      </c>
      <c r="P36" s="131">
        <f>-P3/'Simu rates'!P13</f>
        <v>99.679310922584449</v>
      </c>
      <c r="Q36" s="131">
        <f>-Q3/'Simu rates'!Q13</f>
        <v>101.19403783026272</v>
      </c>
      <c r="R36" s="131">
        <f>-R3/'Simu rates'!R13</f>
        <v>101.34514575448185</v>
      </c>
      <c r="S36" s="958" t="s">
        <v>692</v>
      </c>
    </row>
    <row r="37" spans="1:19" outlineLevel="1">
      <c r="A37" s="58" t="s">
        <v>71</v>
      </c>
      <c r="B37" s="131">
        <v>274</v>
      </c>
      <c r="C37" s="131">
        <v>172</v>
      </c>
      <c r="D37" s="131">
        <v>255</v>
      </c>
      <c r="E37" s="132">
        <v>304</v>
      </c>
      <c r="F37" s="131">
        <v>303</v>
      </c>
      <c r="G37" s="131">
        <v>310</v>
      </c>
      <c r="H37" s="141"/>
      <c r="I37" s="131">
        <f>I2/'Simu rates'!I5</f>
        <v>312.56434010991387</v>
      </c>
      <c r="J37" s="131">
        <f>J2/'Simu rates'!J5</f>
        <v>376.35280295470778</v>
      </c>
      <c r="K37" s="131">
        <f>K2/'Simu rates'!K5</f>
        <v>441.56757289883154</v>
      </c>
      <c r="L37" s="131">
        <f>L2/'Simu rates'!L5</f>
        <v>511.78849656373626</v>
      </c>
      <c r="M37" s="131">
        <f>M2/'Simu rates'!M5</f>
        <v>575.30417319214007</v>
      </c>
      <c r="N37" s="131">
        <f>N2/'Simu rates'!N5</f>
        <v>639.03432918038243</v>
      </c>
      <c r="O37" s="131">
        <f>O2/'Simu rates'!O5</f>
        <v>697.93276913972886</v>
      </c>
      <c r="P37" s="131">
        <f>P2/'Simu rates'!P5</f>
        <v>749.58626025028036</v>
      </c>
      <c r="Q37" s="131">
        <f>Q2/'Simu rates'!Q5</f>
        <v>798.20791532347926</v>
      </c>
      <c r="R37" s="131">
        <f>R2/'Simu rates'!R5</f>
        <v>845.2499951556855</v>
      </c>
      <c r="S37" s="958" t="s">
        <v>695</v>
      </c>
    </row>
    <row r="38" spans="1:19" outlineLevel="1">
      <c r="A38" s="58" t="s">
        <v>72</v>
      </c>
      <c r="B38" s="131">
        <v>68</v>
      </c>
      <c r="C38" s="131">
        <v>109</v>
      </c>
      <c r="D38" s="131">
        <v>185</v>
      </c>
      <c r="E38" s="132">
        <v>226</v>
      </c>
      <c r="F38" s="131">
        <v>286</v>
      </c>
      <c r="G38" s="131">
        <v>223</v>
      </c>
      <c r="H38" s="141"/>
      <c r="I38" s="131">
        <v>223</v>
      </c>
      <c r="J38" s="131">
        <v>223</v>
      </c>
      <c r="K38" s="131">
        <v>223</v>
      </c>
      <c r="L38" s="131">
        <v>223</v>
      </c>
      <c r="M38" s="131">
        <v>223</v>
      </c>
      <c r="N38" s="131">
        <v>223</v>
      </c>
      <c r="O38" s="131">
        <v>223</v>
      </c>
      <c r="P38" s="131">
        <v>223</v>
      </c>
      <c r="Q38" s="131">
        <v>223</v>
      </c>
      <c r="R38" s="131">
        <v>223</v>
      </c>
      <c r="S38" s="958" t="s">
        <v>693</v>
      </c>
    </row>
    <row r="39" spans="1:19" outlineLevel="1">
      <c r="A39" s="58" t="s">
        <v>73</v>
      </c>
      <c r="B39" s="131">
        <v>1421</v>
      </c>
      <c r="C39" s="131">
        <v>1298</v>
      </c>
      <c r="D39" s="131">
        <v>3240</v>
      </c>
      <c r="E39" s="132">
        <v>4095</v>
      </c>
      <c r="F39" s="131">
        <v>4021</v>
      </c>
      <c r="G39" s="131">
        <v>4114</v>
      </c>
      <c r="H39" s="141"/>
      <c r="I39" s="131">
        <v>4114</v>
      </c>
      <c r="J39" s="131">
        <v>4114</v>
      </c>
      <c r="K39" s="131">
        <v>4114</v>
      </c>
      <c r="L39" s="131">
        <v>4114</v>
      </c>
      <c r="M39" s="131">
        <v>4114</v>
      </c>
      <c r="N39" s="131">
        <v>4114</v>
      </c>
      <c r="O39" s="131">
        <v>4114</v>
      </c>
      <c r="P39" s="131">
        <v>4114</v>
      </c>
      <c r="Q39" s="131">
        <v>4114</v>
      </c>
      <c r="R39" s="131">
        <v>4114</v>
      </c>
      <c r="S39" s="958" t="s">
        <v>693</v>
      </c>
    </row>
    <row r="40" spans="1:19" outlineLevel="1">
      <c r="A40" s="58" t="s">
        <v>74</v>
      </c>
      <c r="B40" s="131">
        <v>3140</v>
      </c>
      <c r="C40" s="131">
        <v>3755</v>
      </c>
      <c r="D40" s="131">
        <v>8675</v>
      </c>
      <c r="E40" s="132">
        <v>8057</v>
      </c>
      <c r="F40" s="131">
        <v>7450</v>
      </c>
      <c r="G40" s="131">
        <v>7136</v>
      </c>
      <c r="H40" s="141">
        <v>0</v>
      </c>
      <c r="I40" s="131">
        <f>SUM(I35:I39)</f>
        <v>9751.9448139684828</v>
      </c>
      <c r="J40" s="131">
        <f t="shared" ref="J40:R40" si="8">SUM(J35:J39)</f>
        <v>9380.6921185539286</v>
      </c>
      <c r="K40" s="131">
        <f t="shared" si="8"/>
        <v>9060.0802614173444</v>
      </c>
      <c r="L40" s="131">
        <f t="shared" si="8"/>
        <v>9034.0027589439742</v>
      </c>
      <c r="M40" s="131">
        <f t="shared" si="8"/>
        <v>8924.0333225347895</v>
      </c>
      <c r="N40" s="131">
        <f t="shared" si="8"/>
        <v>9101.7444177979341</v>
      </c>
      <c r="O40" s="131">
        <f t="shared" si="8"/>
        <v>9551.1248833225582</v>
      </c>
      <c r="P40" s="131">
        <f t="shared" si="8"/>
        <v>10236.096211967862</v>
      </c>
      <c r="Q40" s="131">
        <f t="shared" si="8"/>
        <v>11253.016517712409</v>
      </c>
      <c r="R40" s="131">
        <f t="shared" si="8"/>
        <v>12661.776510046717</v>
      </c>
      <c r="S40" s="958" t="s">
        <v>692</v>
      </c>
    </row>
    <row r="41" spans="1:19" outlineLevel="1">
      <c r="B41" s="131"/>
      <c r="C41" s="131"/>
      <c r="D41" s="131"/>
      <c r="E41" s="132"/>
      <c r="F41" s="131"/>
      <c r="G41" s="131"/>
      <c r="H41" s="141"/>
      <c r="I41" s="131"/>
      <c r="J41" s="131"/>
      <c r="K41" s="131"/>
      <c r="L41" s="131"/>
      <c r="M41" s="131"/>
      <c r="N41" s="131"/>
      <c r="O41" s="131"/>
      <c r="P41" s="131"/>
      <c r="Q41" s="131"/>
      <c r="R41" s="131"/>
    </row>
    <row r="42" spans="1:19" outlineLevel="1">
      <c r="A42" s="58" t="s">
        <v>75</v>
      </c>
      <c r="B42" s="131">
        <v>512</v>
      </c>
      <c r="C42" s="131">
        <v>384</v>
      </c>
      <c r="D42" s="131">
        <v>441</v>
      </c>
      <c r="E42" s="132">
        <v>508</v>
      </c>
      <c r="F42" s="131">
        <v>494</v>
      </c>
      <c r="G42" s="131">
        <v>470</v>
      </c>
      <c r="H42" s="141"/>
      <c r="I42" s="131">
        <f>I2/'Simu rates'!I16</f>
        <v>488.18545891150518</v>
      </c>
      <c r="J42" s="131">
        <f>J2/'Simu rates'!J16</f>
        <v>639.30171454878666</v>
      </c>
      <c r="K42" s="131">
        <f>K2/'Simu rates'!K16</f>
        <v>776.72636882846825</v>
      </c>
      <c r="L42" s="131">
        <f>L2/'Simu rates'!L16</f>
        <v>923.03416459999926</v>
      </c>
      <c r="M42" s="131">
        <f>M2/'Simu rates'!M16</f>
        <v>1056.1242436946491</v>
      </c>
      <c r="N42" s="131">
        <f>N2/'Simu rates'!N16</f>
        <v>1210.60755972681</v>
      </c>
      <c r="O42" s="131">
        <f>O2/'Simu rates'!O16</f>
        <v>1355.9364567103178</v>
      </c>
      <c r="P42" s="131">
        <f>P2/'Simu rates'!P16</f>
        <v>1482.4447282725955</v>
      </c>
      <c r="Q42" s="131">
        <f>Q2/'Simu rates'!Q16</f>
        <v>1593.270826369446</v>
      </c>
      <c r="R42" s="131">
        <f>R2/'Simu rates'!R16</f>
        <v>1698.7577041802951</v>
      </c>
      <c r="S42" s="958" t="s">
        <v>692</v>
      </c>
    </row>
    <row r="43" spans="1:19" outlineLevel="1">
      <c r="A43" s="58" t="s">
        <v>76</v>
      </c>
      <c r="B43" s="131">
        <v>1202</v>
      </c>
      <c r="C43" s="131">
        <v>913</v>
      </c>
      <c r="D43" s="131">
        <v>675</v>
      </c>
      <c r="E43" s="132">
        <v>905</v>
      </c>
      <c r="F43" s="131">
        <v>905</v>
      </c>
      <c r="G43" s="131">
        <v>904</v>
      </c>
      <c r="H43" s="141"/>
      <c r="I43" s="131">
        <f>I2/'Simu rates'!I18</f>
        <v>903.99999999999989</v>
      </c>
      <c r="J43" s="131">
        <f>J2/'Simu rates'!J18</f>
        <v>912.12104122707342</v>
      </c>
      <c r="K43" s="131">
        <f>K2/'Simu rates'!K18</f>
        <v>920.4769161026619</v>
      </c>
      <c r="L43" s="131">
        <f>L2/'Simu rates'!L18</f>
        <v>929.48132374968509</v>
      </c>
      <c r="M43" s="131">
        <f>M2/'Simu rates'!M18</f>
        <v>937.81631841093179</v>
      </c>
      <c r="N43" s="131">
        <f>N2/'Simu rates'!N18</f>
        <v>946.27751935266849</v>
      </c>
      <c r="O43" s="131">
        <f>O2/'Simu rates'!O18</f>
        <v>954.30036191879105</v>
      </c>
      <c r="P43" s="131">
        <f>P2/'Simu rates'!P18</f>
        <v>961.47028345901299</v>
      </c>
      <c r="Q43" s="131">
        <f>Q2/'Simu rates'!Q18</f>
        <v>968.40245264045518</v>
      </c>
      <c r="R43" s="131">
        <f>R2/'Simu rates'!R18</f>
        <v>975.27102371163107</v>
      </c>
      <c r="S43" s="958" t="s">
        <v>692</v>
      </c>
    </row>
    <row r="44" spans="1:19" outlineLevel="1">
      <c r="A44" s="58" t="s">
        <v>77</v>
      </c>
      <c r="B44" s="131"/>
      <c r="C44" s="131">
        <v>9</v>
      </c>
      <c r="D44" s="131">
        <v>14</v>
      </c>
      <c r="E44" s="132">
        <v>48</v>
      </c>
      <c r="F44" s="131">
        <v>45</v>
      </c>
      <c r="G44" s="131">
        <v>110</v>
      </c>
      <c r="H44" s="141"/>
      <c r="I44" s="131">
        <v>110</v>
      </c>
      <c r="J44" s="131">
        <v>110</v>
      </c>
      <c r="K44" s="131">
        <v>110</v>
      </c>
      <c r="L44" s="131">
        <v>110</v>
      </c>
      <c r="M44" s="131">
        <v>110</v>
      </c>
      <c r="N44" s="131">
        <v>110</v>
      </c>
      <c r="O44" s="131">
        <v>110</v>
      </c>
      <c r="P44" s="131">
        <v>110</v>
      </c>
      <c r="Q44" s="131">
        <v>110</v>
      </c>
      <c r="R44" s="131">
        <v>110</v>
      </c>
      <c r="S44" s="958" t="s">
        <v>693</v>
      </c>
    </row>
    <row r="45" spans="1:19" outlineLevel="1">
      <c r="A45" s="58" t="s">
        <v>78</v>
      </c>
      <c r="B45" s="131">
        <v>0</v>
      </c>
      <c r="C45" s="131">
        <v>0</v>
      </c>
      <c r="D45" s="131">
        <v>5</v>
      </c>
      <c r="E45" s="132">
        <v>4</v>
      </c>
      <c r="F45" s="131">
        <v>9</v>
      </c>
      <c r="G45" s="131">
        <v>7</v>
      </c>
      <c r="H45" s="141"/>
      <c r="I45" s="131">
        <v>7</v>
      </c>
      <c r="J45" s="131">
        <v>7</v>
      </c>
      <c r="K45" s="131">
        <v>7</v>
      </c>
      <c r="L45" s="131">
        <v>7</v>
      </c>
      <c r="M45" s="131">
        <v>7</v>
      </c>
      <c r="N45" s="131">
        <v>7</v>
      </c>
      <c r="O45" s="131">
        <v>7</v>
      </c>
      <c r="P45" s="131">
        <v>7</v>
      </c>
      <c r="Q45" s="131">
        <v>7</v>
      </c>
      <c r="R45" s="131">
        <v>7</v>
      </c>
      <c r="S45" s="958" t="s">
        <v>693</v>
      </c>
    </row>
    <row r="46" spans="1:19" outlineLevel="1">
      <c r="A46" s="58" t="s">
        <v>73</v>
      </c>
      <c r="B46" s="131">
        <v>165</v>
      </c>
      <c r="C46" s="131">
        <v>377</v>
      </c>
      <c r="D46" s="131">
        <v>1241</v>
      </c>
      <c r="E46" s="132">
        <v>1283</v>
      </c>
      <c r="F46" s="131">
        <v>1327</v>
      </c>
      <c r="G46" s="131">
        <v>1311</v>
      </c>
      <c r="H46" s="141"/>
      <c r="I46" s="131">
        <v>1311</v>
      </c>
      <c r="J46" s="131">
        <v>1311</v>
      </c>
      <c r="K46" s="131">
        <v>1311</v>
      </c>
      <c r="L46" s="131">
        <v>1311</v>
      </c>
      <c r="M46" s="131">
        <v>1311</v>
      </c>
      <c r="N46" s="131">
        <v>1311</v>
      </c>
      <c r="O46" s="131">
        <v>1311</v>
      </c>
      <c r="P46" s="131">
        <v>1311</v>
      </c>
      <c r="Q46" s="131">
        <v>1311</v>
      </c>
      <c r="R46" s="131">
        <v>1311</v>
      </c>
      <c r="S46" s="958" t="s">
        <v>693</v>
      </c>
    </row>
    <row r="47" spans="1:19" outlineLevel="1">
      <c r="A47" s="58" t="s">
        <v>72</v>
      </c>
      <c r="B47" s="131">
        <v>5</v>
      </c>
      <c r="C47" s="131">
        <v>4</v>
      </c>
      <c r="D47" s="131">
        <v>127</v>
      </c>
      <c r="E47" s="132">
        <v>126</v>
      </c>
      <c r="F47" s="131">
        <v>124</v>
      </c>
      <c r="G47" s="131">
        <v>129</v>
      </c>
      <c r="H47" s="141"/>
      <c r="I47" s="131">
        <v>129</v>
      </c>
      <c r="J47" s="131">
        <v>129</v>
      </c>
      <c r="K47" s="131">
        <v>129</v>
      </c>
      <c r="L47" s="131">
        <v>129</v>
      </c>
      <c r="M47" s="131">
        <v>129</v>
      </c>
      <c r="N47" s="131">
        <v>129</v>
      </c>
      <c r="O47" s="131">
        <v>129</v>
      </c>
      <c r="P47" s="131">
        <v>129</v>
      </c>
      <c r="Q47" s="131">
        <v>129</v>
      </c>
      <c r="R47" s="131">
        <v>129</v>
      </c>
      <c r="S47" s="958" t="s">
        <v>693</v>
      </c>
    </row>
    <row r="48" spans="1:19" outlineLevel="1">
      <c r="A48" s="58" t="s">
        <v>79</v>
      </c>
      <c r="B48" s="131">
        <v>1884</v>
      </c>
      <c r="C48" s="131">
        <v>1687</v>
      </c>
      <c r="D48" s="131">
        <v>2503</v>
      </c>
      <c r="E48" s="132">
        <v>2874</v>
      </c>
      <c r="F48" s="131">
        <v>2904</v>
      </c>
      <c r="G48" s="131">
        <v>2931</v>
      </c>
      <c r="H48" s="141">
        <v>0</v>
      </c>
      <c r="I48" s="131">
        <f>SUM(I42:I47)</f>
        <v>2949.1854589115051</v>
      </c>
      <c r="J48" s="131">
        <f t="shared" ref="J48:R48" si="9">SUM(J42:J47)</f>
        <v>3108.42275577586</v>
      </c>
      <c r="K48" s="131">
        <f t="shared" si="9"/>
        <v>3254.2032849311299</v>
      </c>
      <c r="L48" s="131">
        <f t="shared" si="9"/>
        <v>3409.5154883496843</v>
      </c>
      <c r="M48" s="131">
        <f t="shared" si="9"/>
        <v>3550.9405621055807</v>
      </c>
      <c r="N48" s="131">
        <f t="shared" si="9"/>
        <v>3713.8850790794786</v>
      </c>
      <c r="O48" s="131">
        <f t="shared" si="9"/>
        <v>3867.2368186291087</v>
      </c>
      <c r="P48" s="131">
        <f t="shared" si="9"/>
        <v>4000.9150117316085</v>
      </c>
      <c r="Q48" s="131">
        <f t="shared" si="9"/>
        <v>4118.6732790099013</v>
      </c>
      <c r="R48" s="131">
        <f t="shared" si="9"/>
        <v>4231.0287278919259</v>
      </c>
      <c r="S48" s="958" t="s">
        <v>692</v>
      </c>
    </row>
    <row r="49" spans="1:19" outlineLevel="1">
      <c r="A49" s="58" t="s">
        <v>80</v>
      </c>
      <c r="B49" s="133">
        <v>5024</v>
      </c>
      <c r="C49" s="133">
        <v>5442</v>
      </c>
      <c r="D49" s="133">
        <v>11178</v>
      </c>
      <c r="E49" s="134">
        <v>10931</v>
      </c>
      <c r="F49" s="133">
        <v>10354</v>
      </c>
      <c r="G49" s="133">
        <v>10067</v>
      </c>
      <c r="H49" s="142">
        <v>0</v>
      </c>
      <c r="I49" s="47">
        <f>I48+I40</f>
        <v>12701.130272879987</v>
      </c>
      <c r="J49" s="47">
        <f t="shared" ref="J49:R49" si="10">J48+J40</f>
        <v>12489.114874329789</v>
      </c>
      <c r="K49" s="47">
        <f t="shared" si="10"/>
        <v>12314.283546348473</v>
      </c>
      <c r="L49" s="47">
        <f t="shared" si="10"/>
        <v>12443.518247293658</v>
      </c>
      <c r="M49" s="47">
        <f t="shared" si="10"/>
        <v>12474.973884640371</v>
      </c>
      <c r="N49" s="47">
        <f t="shared" si="10"/>
        <v>12815.629496877413</v>
      </c>
      <c r="O49" s="47">
        <f t="shared" si="10"/>
        <v>13418.361701951668</v>
      </c>
      <c r="P49" s="47">
        <f t="shared" si="10"/>
        <v>14237.011223699472</v>
      </c>
      <c r="Q49" s="47">
        <f t="shared" si="10"/>
        <v>15371.68979672231</v>
      </c>
      <c r="R49" s="47">
        <f t="shared" si="10"/>
        <v>16892.805237938643</v>
      </c>
      <c r="S49" s="958" t="s">
        <v>692</v>
      </c>
    </row>
    <row r="50" spans="1:19">
      <c r="B50" s="131"/>
      <c r="C50" s="131"/>
      <c r="D50" s="131"/>
      <c r="E50" s="132"/>
      <c r="F50" s="131"/>
      <c r="G50" s="131"/>
      <c r="H50" s="141"/>
      <c r="I50" s="31"/>
      <c r="J50" s="31"/>
      <c r="K50" s="31"/>
      <c r="L50" s="31"/>
      <c r="M50" s="31"/>
      <c r="N50" s="31"/>
      <c r="O50" s="31"/>
      <c r="P50" s="31"/>
      <c r="Q50" s="31"/>
      <c r="R50" s="31"/>
    </row>
    <row r="51" spans="1:19">
      <c r="A51" s="58" t="s">
        <v>81</v>
      </c>
      <c r="B51" s="131"/>
      <c r="C51" s="131"/>
      <c r="D51" s="131"/>
      <c r="E51" s="132"/>
      <c r="F51" s="131"/>
      <c r="G51" s="131"/>
      <c r="H51" s="141"/>
      <c r="I51" s="31"/>
      <c r="J51" s="31"/>
      <c r="K51" s="31"/>
      <c r="L51" s="31"/>
      <c r="M51" s="31"/>
      <c r="N51" s="31"/>
      <c r="O51" s="31"/>
      <c r="P51" s="31"/>
      <c r="Q51" s="31"/>
      <c r="R51" s="31"/>
    </row>
    <row r="52" spans="1:19" outlineLevel="1">
      <c r="B52" s="131"/>
      <c r="C52" s="131"/>
      <c r="D52" s="131"/>
      <c r="E52" s="132"/>
      <c r="F52" s="131"/>
      <c r="G52" s="131"/>
      <c r="H52" s="141"/>
      <c r="I52" s="31"/>
      <c r="J52" s="31"/>
      <c r="K52" s="31"/>
      <c r="L52" s="31"/>
      <c r="M52" s="31"/>
      <c r="N52" s="31"/>
      <c r="O52" s="31"/>
      <c r="P52" s="31"/>
      <c r="Q52" s="31"/>
      <c r="R52" s="31"/>
    </row>
    <row r="53" spans="1:19" outlineLevel="1">
      <c r="A53" s="58" t="s">
        <v>82</v>
      </c>
      <c r="B53" s="131">
        <v>161</v>
      </c>
      <c r="C53" s="131">
        <v>140</v>
      </c>
      <c r="D53" s="131">
        <v>144</v>
      </c>
      <c r="E53" s="132">
        <v>156</v>
      </c>
      <c r="F53" s="131">
        <v>153</v>
      </c>
      <c r="G53" s="131">
        <v>117</v>
      </c>
      <c r="H53" s="141"/>
      <c r="I53" s="131"/>
      <c r="J53" s="131"/>
      <c r="K53" s="131"/>
      <c r="L53" s="131"/>
      <c r="M53" s="131"/>
      <c r="N53" s="131"/>
      <c r="O53" s="131"/>
      <c r="P53" s="131"/>
      <c r="Q53" s="131"/>
      <c r="R53" s="131"/>
    </row>
    <row r="54" spans="1:19" outlineLevel="1">
      <c r="A54" s="58" t="s">
        <v>83</v>
      </c>
      <c r="B54" s="131">
        <v>3</v>
      </c>
      <c r="C54" s="131">
        <v>35</v>
      </c>
      <c r="D54" s="131">
        <v>35</v>
      </c>
      <c r="E54" s="132">
        <v>38</v>
      </c>
      <c r="F54" s="131">
        <v>38</v>
      </c>
      <c r="G54" s="131">
        <v>36</v>
      </c>
      <c r="H54" s="141"/>
      <c r="I54" s="131">
        <v>36</v>
      </c>
      <c r="J54" s="131">
        <v>36</v>
      </c>
      <c r="K54" s="131">
        <v>36</v>
      </c>
      <c r="L54" s="131">
        <v>36</v>
      </c>
      <c r="M54" s="131">
        <v>36</v>
      </c>
      <c r="N54" s="131">
        <v>36</v>
      </c>
      <c r="O54" s="131">
        <v>36</v>
      </c>
      <c r="P54" s="131">
        <v>36</v>
      </c>
      <c r="Q54" s="131">
        <v>36</v>
      </c>
      <c r="R54" s="131">
        <v>36</v>
      </c>
      <c r="S54" s="958" t="s">
        <v>693</v>
      </c>
    </row>
    <row r="55" spans="1:19" outlineLevel="1">
      <c r="A55" s="58" t="s">
        <v>84</v>
      </c>
      <c r="B55" s="131">
        <v>619</v>
      </c>
      <c r="C55" s="131">
        <v>661</v>
      </c>
      <c r="D55" s="131">
        <v>844</v>
      </c>
      <c r="E55" s="132">
        <v>801</v>
      </c>
      <c r="F55" s="131">
        <v>810</v>
      </c>
      <c r="G55" s="131">
        <v>845</v>
      </c>
      <c r="H55" s="141"/>
      <c r="I55" s="131"/>
      <c r="J55" s="131"/>
      <c r="K55" s="131"/>
      <c r="L55" s="131"/>
      <c r="M55" s="131"/>
      <c r="N55" s="131"/>
      <c r="O55" s="131"/>
      <c r="P55" s="131"/>
      <c r="Q55" s="131"/>
      <c r="R55" s="131"/>
    </row>
    <row r="56" spans="1:19" outlineLevel="1">
      <c r="A56" s="58" t="s">
        <v>85</v>
      </c>
      <c r="B56" s="131">
        <v>0</v>
      </c>
      <c r="C56" s="131">
        <v>0</v>
      </c>
      <c r="D56" s="131">
        <v>3</v>
      </c>
      <c r="E56" s="132">
        <v>3</v>
      </c>
      <c r="F56" s="131">
        <v>4</v>
      </c>
      <c r="G56" s="131">
        <v>4</v>
      </c>
      <c r="H56" s="141"/>
      <c r="I56" s="131">
        <v>4</v>
      </c>
      <c r="J56" s="131">
        <v>4</v>
      </c>
      <c r="K56" s="131">
        <v>4</v>
      </c>
      <c r="L56" s="131">
        <v>4</v>
      </c>
      <c r="M56" s="131">
        <v>4</v>
      </c>
      <c r="N56" s="131">
        <v>4</v>
      </c>
      <c r="O56" s="131">
        <v>4</v>
      </c>
      <c r="P56" s="131">
        <v>4</v>
      </c>
      <c r="Q56" s="131">
        <v>4</v>
      </c>
      <c r="R56" s="131">
        <v>4</v>
      </c>
      <c r="S56" s="958" t="s">
        <v>693</v>
      </c>
    </row>
    <row r="57" spans="1:19" outlineLevel="1">
      <c r="A57" s="58" t="s">
        <v>86</v>
      </c>
      <c r="B57" s="131">
        <v>783</v>
      </c>
      <c r="C57" s="131">
        <v>836</v>
      </c>
      <c r="D57" s="131">
        <v>1026</v>
      </c>
      <c r="E57" s="132">
        <v>998</v>
      </c>
      <c r="F57" s="131">
        <v>1005</v>
      </c>
      <c r="G57" s="131">
        <v>1002</v>
      </c>
      <c r="H57" s="141">
        <v>0</v>
      </c>
      <c r="I57" s="131">
        <f>-I3/'Simu rates'!I21</f>
        <v>3353.2857961454847</v>
      </c>
      <c r="J57" s="131">
        <f>-J3/'Simu rates'!J21</f>
        <v>4392.1382843921756</v>
      </c>
      <c r="K57" s="131">
        <f>-K3/'Simu rates'!K21</f>
        <v>5342.6336007495911</v>
      </c>
      <c r="L57" s="131">
        <f>-L3/'Simu rates'!L21</f>
        <v>6370.9105669385453</v>
      </c>
      <c r="M57" s="131">
        <f>-M3/'Simu rates'!M21</f>
        <v>7027.2418863506064</v>
      </c>
      <c r="N57" s="131">
        <f>-N3/'Simu rates'!N21</f>
        <v>7615.210627396923</v>
      </c>
      <c r="O57" s="131">
        <f>-O3/'Simu rates'!O21</f>
        <v>8050.5621055209849</v>
      </c>
      <c r="P57" s="131">
        <f>-P3/'Simu rates'!P21</f>
        <v>8306.6092435487044</v>
      </c>
      <c r="Q57" s="131">
        <f>-Q3/'Simu rates'!Q21</f>
        <v>8432.8364858552268</v>
      </c>
      <c r="R57" s="131">
        <f>-R3/'Simu rates'!R21</f>
        <v>8445.4288128734879</v>
      </c>
      <c r="S57" s="958" t="s">
        <v>692</v>
      </c>
    </row>
    <row r="58" spans="1:19" outlineLevel="1">
      <c r="B58" s="131"/>
      <c r="C58" s="131"/>
      <c r="D58" s="131"/>
      <c r="E58" s="132"/>
      <c r="F58" s="131"/>
      <c r="G58" s="131"/>
      <c r="H58" s="141"/>
      <c r="I58" s="131"/>
      <c r="J58" s="131"/>
      <c r="K58" s="131"/>
      <c r="L58" s="131"/>
      <c r="M58" s="131"/>
      <c r="N58" s="131"/>
      <c r="O58" s="131"/>
      <c r="P58" s="131"/>
      <c r="Q58" s="131"/>
      <c r="R58" s="131"/>
    </row>
    <row r="59" spans="1:19" outlineLevel="1">
      <c r="A59" s="58" t="s">
        <v>82</v>
      </c>
      <c r="B59" s="131">
        <v>8440</v>
      </c>
      <c r="C59" s="131">
        <v>10878</v>
      </c>
      <c r="D59" s="131">
        <v>2031</v>
      </c>
      <c r="E59" s="132">
        <v>2082</v>
      </c>
      <c r="F59" s="131">
        <v>2015</v>
      </c>
      <c r="G59" s="131">
        <v>2004</v>
      </c>
      <c r="H59" s="141"/>
      <c r="I59" s="131">
        <v>2004</v>
      </c>
      <c r="J59" s="131">
        <v>2004</v>
      </c>
      <c r="K59" s="131">
        <v>2004</v>
      </c>
      <c r="L59" s="131">
        <v>2004</v>
      </c>
      <c r="M59" s="131">
        <v>2004</v>
      </c>
      <c r="N59" s="131">
        <v>2004</v>
      </c>
      <c r="O59" s="131">
        <v>2004</v>
      </c>
      <c r="P59" s="131">
        <v>2004</v>
      </c>
      <c r="Q59" s="131">
        <v>2004</v>
      </c>
      <c r="R59" s="131">
        <v>2004</v>
      </c>
      <c r="S59" s="958" t="s">
        <v>693</v>
      </c>
    </row>
    <row r="60" spans="1:19" outlineLevel="1">
      <c r="A60" s="58" t="s">
        <v>87</v>
      </c>
      <c r="B60" s="131">
        <v>6</v>
      </c>
      <c r="C60" s="131">
        <v>1</v>
      </c>
      <c r="D60" s="131">
        <v>3</v>
      </c>
      <c r="E60" s="132">
        <v>19</v>
      </c>
      <c r="F60" s="131">
        <v>19</v>
      </c>
      <c r="G60" s="131">
        <v>17</v>
      </c>
      <c r="H60" s="141"/>
      <c r="I60" s="131">
        <v>17</v>
      </c>
      <c r="J60" s="131">
        <v>17</v>
      </c>
      <c r="K60" s="131">
        <v>17</v>
      </c>
      <c r="L60" s="131">
        <v>17</v>
      </c>
      <c r="M60" s="131">
        <v>17</v>
      </c>
      <c r="N60" s="131">
        <v>17</v>
      </c>
      <c r="O60" s="131">
        <v>17</v>
      </c>
      <c r="P60" s="131">
        <v>17</v>
      </c>
      <c r="Q60" s="131">
        <v>17</v>
      </c>
      <c r="R60" s="131">
        <v>17</v>
      </c>
      <c r="S60" s="958" t="s">
        <v>693</v>
      </c>
    </row>
    <row r="61" spans="1:19" outlineLevel="1">
      <c r="A61" s="58" t="s">
        <v>88</v>
      </c>
      <c r="B61" s="131">
        <v>19</v>
      </c>
      <c r="C61" s="131">
        <v>21</v>
      </c>
      <c r="D61" s="131">
        <v>99</v>
      </c>
      <c r="E61" s="132">
        <v>156</v>
      </c>
      <c r="F61" s="131">
        <v>149</v>
      </c>
      <c r="G61" s="131">
        <v>152</v>
      </c>
      <c r="H61" s="141"/>
      <c r="I61" s="131">
        <v>152</v>
      </c>
      <c r="J61" s="131">
        <v>152</v>
      </c>
      <c r="K61" s="131">
        <v>152</v>
      </c>
      <c r="L61" s="131">
        <v>152</v>
      </c>
      <c r="M61" s="131">
        <v>152</v>
      </c>
      <c r="N61" s="131">
        <v>152</v>
      </c>
      <c r="O61" s="131">
        <v>152</v>
      </c>
      <c r="P61" s="131">
        <v>152</v>
      </c>
      <c r="Q61" s="131">
        <v>152</v>
      </c>
      <c r="R61" s="131">
        <v>152</v>
      </c>
      <c r="S61" s="958" t="s">
        <v>693</v>
      </c>
    </row>
    <row r="62" spans="1:19" outlineLevel="1">
      <c r="A62" s="58" t="s">
        <v>89</v>
      </c>
      <c r="B62" s="131">
        <v>8465</v>
      </c>
      <c r="C62" s="131">
        <v>10900</v>
      </c>
      <c r="D62" s="131">
        <v>2133</v>
      </c>
      <c r="E62" s="132">
        <v>2257</v>
      </c>
      <c r="F62" s="131">
        <v>2183</v>
      </c>
      <c r="G62" s="131">
        <v>2173</v>
      </c>
      <c r="H62" s="141">
        <v>0</v>
      </c>
      <c r="I62" s="131">
        <f>SUM(I59:I61)</f>
        <v>2173</v>
      </c>
      <c r="J62" s="131">
        <f t="shared" ref="J62:R62" si="11">SUM(J59:J61)</f>
        <v>2173</v>
      </c>
      <c r="K62" s="131">
        <f t="shared" si="11"/>
        <v>2173</v>
      </c>
      <c r="L62" s="131">
        <f t="shared" si="11"/>
        <v>2173</v>
      </c>
      <c r="M62" s="131">
        <f t="shared" si="11"/>
        <v>2173</v>
      </c>
      <c r="N62" s="131">
        <f t="shared" si="11"/>
        <v>2173</v>
      </c>
      <c r="O62" s="131">
        <f t="shared" si="11"/>
        <v>2173</v>
      </c>
      <c r="P62" s="131">
        <f t="shared" si="11"/>
        <v>2173</v>
      </c>
      <c r="Q62" s="131">
        <f t="shared" si="11"/>
        <v>2173</v>
      </c>
      <c r="R62" s="131">
        <f t="shared" si="11"/>
        <v>2173</v>
      </c>
      <c r="S62" s="958" t="s">
        <v>692</v>
      </c>
    </row>
    <row r="63" spans="1:19" outlineLevel="1">
      <c r="B63" s="131"/>
      <c r="C63" s="131"/>
      <c r="D63" s="131"/>
      <c r="E63" s="132"/>
      <c r="F63" s="131"/>
      <c r="G63" s="131"/>
      <c r="H63" s="141"/>
      <c r="I63" s="131"/>
      <c r="J63" s="131"/>
      <c r="K63" s="131"/>
      <c r="L63" s="131"/>
      <c r="M63" s="131"/>
      <c r="N63" s="131"/>
      <c r="O63" s="131"/>
      <c r="P63" s="131"/>
      <c r="Q63" s="131"/>
      <c r="R63" s="131"/>
    </row>
    <row r="64" spans="1:19" outlineLevel="1">
      <c r="A64" s="58" t="s">
        <v>90</v>
      </c>
      <c r="B64" s="131">
        <v>9248</v>
      </c>
      <c r="C64" s="131">
        <v>11736</v>
      </c>
      <c r="D64" s="131">
        <v>3159</v>
      </c>
      <c r="E64" s="132">
        <v>3255</v>
      </c>
      <c r="F64" s="131">
        <v>3188</v>
      </c>
      <c r="G64" s="131">
        <v>3175</v>
      </c>
      <c r="H64" s="141">
        <v>0</v>
      </c>
      <c r="I64" s="131">
        <f>I62+I57</f>
        <v>5526.2857961454847</v>
      </c>
      <c r="J64" s="131">
        <f t="shared" ref="J64:R64" si="12">J62+J57</f>
        <v>6565.1382843921756</v>
      </c>
      <c r="K64" s="131">
        <f t="shared" si="12"/>
        <v>7515.6336007495911</v>
      </c>
      <c r="L64" s="131">
        <f t="shared" si="12"/>
        <v>8543.9105669385463</v>
      </c>
      <c r="M64" s="131">
        <f t="shared" si="12"/>
        <v>9200.2418863506064</v>
      </c>
      <c r="N64" s="131">
        <f t="shared" si="12"/>
        <v>9788.2106273969221</v>
      </c>
      <c r="O64" s="131">
        <f t="shared" si="12"/>
        <v>10223.562105520985</v>
      </c>
      <c r="P64" s="131">
        <f t="shared" si="12"/>
        <v>10479.609243548704</v>
      </c>
      <c r="Q64" s="131">
        <f t="shared" si="12"/>
        <v>10605.836485855227</v>
      </c>
      <c r="R64" s="131">
        <f t="shared" si="12"/>
        <v>10618.428812873488</v>
      </c>
      <c r="S64" s="958" t="s">
        <v>692</v>
      </c>
    </row>
    <row r="65" spans="1:38">
      <c r="B65" s="131"/>
      <c r="C65" s="131"/>
      <c r="D65" s="131"/>
      <c r="E65" s="132"/>
      <c r="F65" s="131"/>
      <c r="G65" s="131"/>
      <c r="H65" s="141"/>
      <c r="I65" s="31"/>
      <c r="J65" s="31"/>
      <c r="K65" s="31"/>
      <c r="L65" s="31"/>
      <c r="M65" s="31"/>
      <c r="N65" s="31"/>
      <c r="O65" s="31"/>
      <c r="P65" s="31"/>
      <c r="Q65" s="31"/>
      <c r="R65" s="31"/>
    </row>
    <row r="66" spans="1:38">
      <c r="A66" s="58" t="s">
        <v>91</v>
      </c>
      <c r="B66" s="131"/>
      <c r="C66" s="131"/>
      <c r="D66" s="131"/>
      <c r="E66" s="132"/>
      <c r="F66" s="131"/>
      <c r="G66" s="131"/>
      <c r="H66" s="141"/>
      <c r="I66" s="31"/>
      <c r="J66" s="31"/>
      <c r="K66" s="31"/>
      <c r="L66" s="31"/>
      <c r="M66" s="31"/>
      <c r="N66" s="31"/>
      <c r="O66" s="31"/>
      <c r="P66" s="31"/>
      <c r="Q66" s="31"/>
      <c r="R66" s="31"/>
    </row>
    <row r="67" spans="1:38" outlineLevel="1">
      <c r="B67" s="131"/>
      <c r="C67" s="131"/>
      <c r="D67" s="131"/>
      <c r="E67" s="132"/>
      <c r="F67" s="131"/>
      <c r="G67" s="131"/>
      <c r="H67" s="141"/>
      <c r="I67" s="31"/>
      <c r="J67" s="31"/>
      <c r="K67" s="31"/>
      <c r="L67" s="31"/>
      <c r="M67" s="31"/>
      <c r="N67" s="31"/>
      <c r="O67" s="31"/>
      <c r="P67" s="31"/>
      <c r="Q67" s="31"/>
      <c r="R67" s="31"/>
    </row>
    <row r="68" spans="1:38" outlineLevel="1">
      <c r="A68" s="58" t="s">
        <v>92</v>
      </c>
      <c r="B68" s="131">
        <v>79</v>
      </c>
      <c r="C68" s="131">
        <v>140</v>
      </c>
      <c r="D68" s="131">
        <v>21529</v>
      </c>
      <c r="E68" s="132">
        <v>22072</v>
      </c>
      <c r="F68" s="131">
        <v>22232</v>
      </c>
      <c r="G68" s="131">
        <v>22250</v>
      </c>
      <c r="H68" s="141"/>
      <c r="I68" s="131">
        <v>22250</v>
      </c>
      <c r="J68" s="131">
        <v>22250</v>
      </c>
      <c r="K68" s="131">
        <v>22250</v>
      </c>
      <c r="L68" s="131">
        <v>22250</v>
      </c>
      <c r="M68" s="131">
        <v>22250</v>
      </c>
      <c r="N68" s="131">
        <v>22250</v>
      </c>
      <c r="O68" s="131">
        <v>22250</v>
      </c>
      <c r="P68" s="131">
        <v>22250</v>
      </c>
      <c r="Q68" s="131">
        <v>22250</v>
      </c>
      <c r="R68" s="131">
        <v>22250</v>
      </c>
      <c r="S68" s="958" t="s">
        <v>693</v>
      </c>
    </row>
    <row r="69" spans="1:38" outlineLevel="1">
      <c r="A69" s="58" t="s">
        <v>66</v>
      </c>
      <c r="B69" s="135">
        <v>-4370</v>
      </c>
      <c r="C69" s="135">
        <v>-6539</v>
      </c>
      <c r="D69" s="135">
        <v>-13796</v>
      </c>
      <c r="E69" s="279">
        <v>-14442</v>
      </c>
      <c r="F69" s="135">
        <v>-15081</v>
      </c>
      <c r="G69" s="135">
        <v>-15404</v>
      </c>
      <c r="H69" s="143"/>
      <c r="I69" s="135">
        <f ca="1">D69+I31</f>
        <v>-15121.155523265497</v>
      </c>
      <c r="J69" s="135">
        <f ca="1">I69+J31</f>
        <v>-16372.023410062387</v>
      </c>
      <c r="K69" s="135">
        <f t="shared" ref="K69:R69" ca="1" si="13">J69+K31</f>
        <v>-17497.350054401119</v>
      </c>
      <c r="L69" s="135">
        <f t="shared" ca="1" si="13"/>
        <v>-18396.392319644892</v>
      </c>
      <c r="M69" s="135">
        <f t="shared" ca="1" si="13"/>
        <v>-19021.268001710239</v>
      </c>
      <c r="N69" s="135">
        <f t="shared" ca="1" si="13"/>
        <v>-19268.581130519513</v>
      </c>
      <c r="O69" s="135">
        <f t="shared" ca="1" si="13"/>
        <v>-19101.200403569321</v>
      </c>
      <c r="P69" s="135">
        <f t="shared" ca="1" si="13"/>
        <v>-18538.598019849236</v>
      </c>
      <c r="Q69" s="135">
        <f t="shared" ca="1" si="13"/>
        <v>-17530.146689132922</v>
      </c>
      <c r="R69" s="135">
        <f t="shared" ca="1" si="13"/>
        <v>-16021.623574934849</v>
      </c>
      <c r="S69" s="958" t="s">
        <v>692</v>
      </c>
    </row>
    <row r="70" spans="1:38" outlineLevel="1">
      <c r="A70" s="58" t="s">
        <v>93</v>
      </c>
      <c r="B70" s="131">
        <v>67</v>
      </c>
      <c r="C70" s="131">
        <v>105</v>
      </c>
      <c r="D70" s="131">
        <v>286</v>
      </c>
      <c r="E70" s="132">
        <v>46</v>
      </c>
      <c r="F70" s="131">
        <v>15</v>
      </c>
      <c r="G70" s="131">
        <v>46</v>
      </c>
      <c r="H70" s="141"/>
      <c r="I70" s="131">
        <v>46</v>
      </c>
      <c r="J70" s="131">
        <v>46</v>
      </c>
      <c r="K70" s="131">
        <v>46</v>
      </c>
      <c r="L70" s="131">
        <v>46</v>
      </c>
      <c r="M70" s="131">
        <v>46</v>
      </c>
      <c r="N70" s="131">
        <v>46</v>
      </c>
      <c r="O70" s="131">
        <v>46</v>
      </c>
      <c r="P70" s="131">
        <v>46</v>
      </c>
      <c r="Q70" s="131">
        <v>46</v>
      </c>
      <c r="R70" s="131">
        <v>46</v>
      </c>
      <c r="S70" s="958" t="s">
        <v>693</v>
      </c>
    </row>
    <row r="71" spans="1:38" outlineLevel="1">
      <c r="A71" s="58" t="s">
        <v>94</v>
      </c>
      <c r="B71" s="135">
        <v>-4224</v>
      </c>
      <c r="C71" s="135">
        <v>-6294</v>
      </c>
      <c r="D71" s="135">
        <v>8019</v>
      </c>
      <c r="E71" s="279">
        <v>7676</v>
      </c>
      <c r="F71" s="135">
        <v>7166</v>
      </c>
      <c r="G71" s="135">
        <v>6892</v>
      </c>
      <c r="H71" s="143">
        <v>0</v>
      </c>
      <c r="I71" s="135">
        <v>7174.8444767345027</v>
      </c>
      <c r="J71" s="135">
        <v>5923.9765899376125</v>
      </c>
      <c r="K71" s="135">
        <v>4798.6499455988815</v>
      </c>
      <c r="L71" s="135">
        <v>3899.6076803551077</v>
      </c>
      <c r="M71" s="135">
        <v>3274.7319982897607</v>
      </c>
      <c r="N71" s="135">
        <v>3027.418869480487</v>
      </c>
      <c r="O71" s="135">
        <v>3194.7995964306792</v>
      </c>
      <c r="P71" s="135">
        <v>3757.4019801507638</v>
      </c>
      <c r="Q71" s="135">
        <v>4765.8533108670781</v>
      </c>
      <c r="R71" s="135">
        <v>6274.3764250651511</v>
      </c>
    </row>
    <row r="72" spans="1:38" outlineLevel="1">
      <c r="B72" s="131"/>
      <c r="C72" s="131"/>
      <c r="D72" s="131"/>
      <c r="E72" s="132"/>
      <c r="F72" s="131"/>
      <c r="G72" s="131"/>
      <c r="H72" s="141"/>
      <c r="I72" s="31"/>
      <c r="J72" s="31"/>
      <c r="K72" s="31"/>
      <c r="L72" s="31"/>
      <c r="M72" s="31"/>
      <c r="N72" s="31"/>
      <c r="O72" s="31"/>
      <c r="P72" s="31"/>
      <c r="Q72" s="31"/>
      <c r="R72" s="31"/>
    </row>
    <row r="73" spans="1:38" outlineLevel="1">
      <c r="A73" s="58" t="s">
        <v>95</v>
      </c>
      <c r="B73" s="133">
        <v>5024</v>
      </c>
      <c r="C73" s="133">
        <v>5442</v>
      </c>
      <c r="D73" s="133">
        <v>11178</v>
      </c>
      <c r="E73" s="134">
        <v>10931</v>
      </c>
      <c r="F73" s="133">
        <v>10354</v>
      </c>
      <c r="G73" s="133">
        <v>10067</v>
      </c>
      <c r="H73" s="142">
        <v>0</v>
      </c>
      <c r="I73" s="47">
        <v>12701.130272879987</v>
      </c>
      <c r="J73" s="47">
        <v>12489.114874329789</v>
      </c>
      <c r="K73" s="47">
        <v>12314.283546348473</v>
      </c>
      <c r="L73" s="47">
        <v>12443.518247293658</v>
      </c>
      <c r="M73" s="47">
        <v>12474.973884640371</v>
      </c>
      <c r="N73" s="47">
        <v>12815.629496877413</v>
      </c>
      <c r="O73" s="47">
        <v>13418.361701951666</v>
      </c>
      <c r="P73" s="47">
        <v>14237.011223699472</v>
      </c>
      <c r="Q73" s="47">
        <v>15371.68979672231</v>
      </c>
      <c r="R73" s="47">
        <v>16892.805237938643</v>
      </c>
    </row>
    <row r="74" spans="1:38">
      <c r="B74" s="136"/>
      <c r="C74" s="136"/>
      <c r="D74" s="136"/>
      <c r="E74" s="137"/>
      <c r="F74" s="136"/>
      <c r="G74" s="136"/>
      <c r="H74" s="141"/>
      <c r="I74" s="31"/>
      <c r="J74" s="31"/>
      <c r="K74" s="31"/>
      <c r="L74" s="31"/>
      <c r="M74" s="31"/>
      <c r="N74" s="31"/>
      <c r="O74" s="31"/>
      <c r="P74" s="31"/>
      <c r="Q74" s="31"/>
      <c r="R74" s="31"/>
    </row>
    <row r="75" spans="1:38">
      <c r="A75" s="58" t="s">
        <v>96</v>
      </c>
      <c r="B75" s="136"/>
      <c r="C75" s="136"/>
      <c r="D75" s="136"/>
      <c r="E75" s="137"/>
      <c r="F75" s="136"/>
      <c r="G75" s="136"/>
      <c r="H75" s="141"/>
      <c r="I75" s="31"/>
      <c r="J75" s="31"/>
      <c r="K75" s="31"/>
      <c r="L75" s="31"/>
      <c r="M75" s="31"/>
      <c r="N75" s="31"/>
      <c r="O75" s="31"/>
      <c r="P75" s="31"/>
      <c r="Q75" s="31"/>
      <c r="R75" s="31"/>
    </row>
    <row r="76" spans="1:38" outlineLevel="1">
      <c r="A76" s="58" t="s">
        <v>97</v>
      </c>
      <c r="B76" s="131">
        <v>621</v>
      </c>
      <c r="C76" s="131">
        <v>619</v>
      </c>
      <c r="D76" s="131">
        <v>785</v>
      </c>
      <c r="E76" s="132">
        <v>882</v>
      </c>
      <c r="F76" s="131">
        <v>900</v>
      </c>
      <c r="G76" s="131">
        <v>910</v>
      </c>
      <c r="H76" s="144"/>
      <c r="I76" s="131">
        <f ca="1">I42-I77</f>
        <v>963.30860422865419</v>
      </c>
      <c r="J76" s="131">
        <f t="shared" ref="J76:R76" ca="1" si="14">J42-J77</f>
        <v>1232.1247682494786</v>
      </c>
      <c r="K76" s="131">
        <f t="shared" ca="1" si="14"/>
        <v>1516.4344935258023</v>
      </c>
      <c r="L76" s="131">
        <f t="shared" ca="1" si="14"/>
        <v>1841.804070030425</v>
      </c>
      <c r="M76" s="131">
        <f t="shared" ca="1" si="14"/>
        <v>2189.5449613864239</v>
      </c>
      <c r="N76" s="131">
        <f t="shared" ca="1" si="14"/>
        <v>2598.4407950656469</v>
      </c>
      <c r="O76" s="131">
        <f t="shared" ca="1" si="14"/>
        <v>3043.0935641799306</v>
      </c>
      <c r="P76" s="131">
        <f t="shared" ca="1" si="14"/>
        <v>3517.3505479485952</v>
      </c>
      <c r="Q76" s="131">
        <f t="shared" ca="1" si="14"/>
        <v>4027.9826228393813</v>
      </c>
      <c r="R76" s="131">
        <f t="shared" ca="1" si="14"/>
        <v>4590.0325939051645</v>
      </c>
      <c r="S76" s="958" t="s">
        <v>696</v>
      </c>
      <c r="T76" s="959"/>
      <c r="U76" s="960"/>
      <c r="V76" s="960"/>
      <c r="W76" s="960"/>
      <c r="X76" s="960"/>
      <c r="Y76" s="960"/>
      <c r="Z76" s="960"/>
      <c r="AA76" s="960"/>
      <c r="AB76" s="960"/>
      <c r="AC76" s="959"/>
      <c r="AD76" s="959"/>
      <c r="AE76" s="960"/>
      <c r="AF76" s="960"/>
      <c r="AG76" s="960"/>
      <c r="AH76" s="960"/>
      <c r="AI76" s="960"/>
      <c r="AJ76" s="960"/>
      <c r="AK76" s="960"/>
      <c r="AL76" s="960"/>
    </row>
    <row r="77" spans="1:38" outlineLevel="1">
      <c r="A77" s="58" t="s">
        <v>98</v>
      </c>
      <c r="B77" s="131">
        <v>-109</v>
      </c>
      <c r="C77" s="131">
        <v>-235</v>
      </c>
      <c r="D77" s="131">
        <v>-344</v>
      </c>
      <c r="E77" s="132">
        <v>-374</v>
      </c>
      <c r="F77" s="131">
        <v>-406</v>
      </c>
      <c r="G77" s="131">
        <v>-440</v>
      </c>
      <c r="H77" s="144"/>
      <c r="I77" s="131">
        <f ca="1">D77+I15</f>
        <v>-475.12314531714901</v>
      </c>
      <c r="J77" s="131">
        <f ca="1">I77+J15</f>
        <v>-592.82305370069184</v>
      </c>
      <c r="K77" s="131">
        <f t="shared" ref="K77:R77" ca="1" si="15">J77+K15</f>
        <v>-739.70812469733391</v>
      </c>
      <c r="L77" s="131">
        <f t="shared" ca="1" si="15"/>
        <v>-918.76990543042575</v>
      </c>
      <c r="M77" s="131">
        <f t="shared" ca="1" si="15"/>
        <v>-1133.4207176917748</v>
      </c>
      <c r="N77" s="131">
        <f t="shared" ca="1" si="15"/>
        <v>-1387.8332353388371</v>
      </c>
      <c r="O77" s="131">
        <f t="shared" ca="1" si="15"/>
        <v>-1687.1571074696126</v>
      </c>
      <c r="P77" s="131">
        <f t="shared" ca="1" si="15"/>
        <v>-2034.9058196759997</v>
      </c>
      <c r="Q77" s="131">
        <f t="shared" ca="1" si="15"/>
        <v>-2434.7117964699355</v>
      </c>
      <c r="R77" s="131">
        <f t="shared" ca="1" si="15"/>
        <v>-2891.2748897248694</v>
      </c>
      <c r="S77" s="958" t="s">
        <v>696</v>
      </c>
      <c r="T77" s="959"/>
      <c r="U77" s="960"/>
      <c r="V77" s="960"/>
      <c r="W77" s="960"/>
      <c r="X77" s="960"/>
      <c r="Y77" s="960"/>
      <c r="Z77" s="960"/>
      <c r="AA77" s="960"/>
      <c r="AB77" s="960"/>
      <c r="AC77" s="959"/>
      <c r="AD77" s="959"/>
      <c r="AE77" s="960"/>
      <c r="AF77" s="960"/>
      <c r="AG77" s="960"/>
      <c r="AH77" s="960"/>
      <c r="AI77" s="960"/>
      <c r="AJ77" s="960"/>
      <c r="AK77" s="960"/>
      <c r="AL77" s="960"/>
    </row>
    <row r="78" spans="1:38" outlineLevel="1">
      <c r="B78" s="136"/>
      <c r="C78" s="136"/>
      <c r="D78" s="136"/>
      <c r="E78" s="137"/>
      <c r="F78" s="136"/>
      <c r="G78" s="136"/>
      <c r="H78" s="141"/>
      <c r="I78" s="136"/>
      <c r="J78" s="136"/>
      <c r="K78" s="136"/>
      <c r="L78" s="136"/>
      <c r="M78" s="136"/>
      <c r="N78" s="136"/>
      <c r="O78" s="136"/>
      <c r="P78" s="136"/>
      <c r="Q78" s="136"/>
      <c r="R78" s="136"/>
      <c r="S78" s="959"/>
      <c r="T78" s="959"/>
      <c r="U78" s="960"/>
      <c r="V78" s="960"/>
      <c r="W78" s="960"/>
      <c r="X78" s="960"/>
      <c r="Y78" s="960"/>
      <c r="Z78" s="960"/>
      <c r="AA78" s="960"/>
      <c r="AB78" s="960"/>
      <c r="AC78" s="960"/>
      <c r="AD78" s="960"/>
      <c r="AE78" s="960"/>
      <c r="AF78" s="960"/>
      <c r="AG78" s="960"/>
      <c r="AH78" s="960"/>
      <c r="AI78" s="960"/>
      <c r="AJ78" s="960"/>
      <c r="AK78" s="960"/>
      <c r="AL78" s="960"/>
    </row>
    <row r="79" spans="1:38" outlineLevel="1">
      <c r="A79" s="58" t="s">
        <v>99</v>
      </c>
      <c r="B79" s="131">
        <v>1740</v>
      </c>
      <c r="C79" s="131">
        <v>1712</v>
      </c>
      <c r="D79" s="131">
        <v>1710</v>
      </c>
      <c r="E79" s="132">
        <v>1944</v>
      </c>
      <c r="F79" s="131">
        <v>1949</v>
      </c>
      <c r="G79" s="131">
        <v>1952</v>
      </c>
      <c r="H79" s="144"/>
      <c r="I79" s="131">
        <f ca="1">I43-I80</f>
        <v>1959.2485705680119</v>
      </c>
      <c r="J79" s="131">
        <f t="shared" ref="J79:R79" ca="1" si="16">J43-J80</f>
        <v>1992.8948960583914</v>
      </c>
      <c r="K79" s="131">
        <f t="shared" ca="1" si="16"/>
        <v>2031.0626778912988</v>
      </c>
      <c r="L79" s="131">
        <f t="shared" ca="1" si="16"/>
        <v>2074.6090383249993</v>
      </c>
      <c r="M79" s="131">
        <f t="shared" ca="1" si="16"/>
        <v>2122.082259475806</v>
      </c>
      <c r="N79" s="131">
        <f t="shared" ca="1" si="16"/>
        <v>2174.5239102475607</v>
      </c>
      <c r="O79" s="131">
        <f t="shared" ca="1" si="16"/>
        <v>2231.3824846729331</v>
      </c>
      <c r="P79" s="131">
        <f t="shared" ca="1" si="16"/>
        <v>2292.0651389267059</v>
      </c>
      <c r="Q79" s="131">
        <f t="shared" ca="1" si="16"/>
        <v>2357.3039567663159</v>
      </c>
      <c r="R79" s="131">
        <f t="shared" ca="1" si="16"/>
        <v>2427.4992554018154</v>
      </c>
      <c r="S79" s="958" t="s">
        <v>696</v>
      </c>
      <c r="T79" s="961"/>
      <c r="U79" s="961"/>
      <c r="V79" s="961"/>
      <c r="W79" s="961"/>
      <c r="X79" s="961"/>
      <c r="Y79" s="961"/>
      <c r="Z79" s="961"/>
      <c r="AA79" s="961"/>
      <c r="AB79" s="961"/>
      <c r="AC79" s="960"/>
      <c r="AD79" s="960"/>
      <c r="AE79" s="960"/>
      <c r="AF79" s="960"/>
      <c r="AG79" s="960"/>
      <c r="AH79" s="960"/>
      <c r="AI79" s="960"/>
      <c r="AJ79" s="960"/>
      <c r="AK79" s="960"/>
      <c r="AL79" s="960"/>
    </row>
    <row r="80" spans="1:38" ht="15.75" outlineLevel="1" thickBot="1">
      <c r="A80" s="58" t="s">
        <v>100</v>
      </c>
      <c r="B80" s="131">
        <v>-538</v>
      </c>
      <c r="C80" s="131">
        <v>-799</v>
      </c>
      <c r="D80" s="131">
        <v>-1035</v>
      </c>
      <c r="E80" s="138">
        <v>-1039</v>
      </c>
      <c r="F80" s="139">
        <v>-1044</v>
      </c>
      <c r="G80" s="139">
        <v>-1048</v>
      </c>
      <c r="H80" s="145"/>
      <c r="I80" s="131">
        <f ca="1">D80+I16</f>
        <v>-1055.2485705680122</v>
      </c>
      <c r="J80" s="131">
        <f ca="1">I80+J16</f>
        <v>-1080.773854831318</v>
      </c>
      <c r="K80" s="131">
        <f t="shared" ref="K80:R80" ca="1" si="17">J80+K16</f>
        <v>-1110.5857617886368</v>
      </c>
      <c r="L80" s="131">
        <f t="shared" ca="1" si="17"/>
        <v>-1145.127714575314</v>
      </c>
      <c r="M80" s="131">
        <f t="shared" ca="1" si="17"/>
        <v>-1184.2659410648741</v>
      </c>
      <c r="N80" s="131">
        <f t="shared" ca="1" si="17"/>
        <v>-1228.2463908948923</v>
      </c>
      <c r="O80" s="131">
        <f t="shared" ca="1" si="17"/>
        <v>-1277.0821227541421</v>
      </c>
      <c r="P80" s="131">
        <f t="shared" ca="1" si="17"/>
        <v>-1330.5948554676932</v>
      </c>
      <c r="Q80" s="131">
        <f t="shared" ca="1" si="17"/>
        <v>-1388.9015041258608</v>
      </c>
      <c r="R80" s="131">
        <f t="shared" ca="1" si="17"/>
        <v>-1452.2282316901844</v>
      </c>
      <c r="S80" s="958" t="s">
        <v>696</v>
      </c>
      <c r="T80" s="961"/>
      <c r="U80" s="961"/>
      <c r="V80" s="961"/>
      <c r="W80" s="961"/>
      <c r="X80" s="961"/>
      <c r="Y80" s="961"/>
      <c r="Z80" s="961"/>
      <c r="AA80" s="961"/>
      <c r="AB80" s="961"/>
      <c r="AC80" s="960"/>
      <c r="AD80" s="960"/>
      <c r="AE80" s="960"/>
      <c r="AF80" s="960"/>
      <c r="AG80" s="960"/>
      <c r="AH80" s="960"/>
      <c r="AI80" s="960"/>
      <c r="AJ80" s="960"/>
      <c r="AK80" s="960"/>
      <c r="AL80" s="960"/>
    </row>
    <row r="82" spans="1:29" s="49" customFormat="1">
      <c r="A82" s="62" t="s">
        <v>101</v>
      </c>
      <c r="D82" s="19"/>
      <c r="I82" s="19"/>
      <c r="J82" s="19"/>
      <c r="K82" s="19"/>
      <c r="L82" s="19"/>
      <c r="M82" s="19"/>
      <c r="N82" s="50"/>
      <c r="S82"/>
      <c r="T82"/>
    </row>
    <row r="83" spans="1:29">
      <c r="A83" s="58" t="s">
        <v>64</v>
      </c>
      <c r="B83"/>
      <c r="D83" s="51"/>
      <c r="I83" s="31">
        <f ca="1">I29</f>
        <v>-1325.1555232654975</v>
      </c>
      <c r="J83" s="31">
        <f t="shared" ref="J83:R83" ca="1" si="18">J29</f>
        <v>-1250.8678867968906</v>
      </c>
      <c r="K83" s="31">
        <f t="shared" ca="1" si="18"/>
        <v>-1125.3266443387322</v>
      </c>
      <c r="L83" s="31">
        <f t="shared" ca="1" si="18"/>
        <v>-899.04226524377225</v>
      </c>
      <c r="M83" s="31">
        <f t="shared" ca="1" si="18"/>
        <v>-624.87568206534706</v>
      </c>
      <c r="N83" s="31">
        <f t="shared" ca="1" si="18"/>
        <v>-247.31312880927209</v>
      </c>
      <c r="O83" s="31">
        <f t="shared" ca="1" si="18"/>
        <v>183.93486478043127</v>
      </c>
      <c r="P83" s="31">
        <f t="shared" ca="1" si="18"/>
        <v>618.24437771437726</v>
      </c>
      <c r="Q83" s="31">
        <f t="shared" ca="1" si="18"/>
        <v>1108.1882755124329</v>
      </c>
      <c r="R83" s="31">
        <f t="shared" ca="1" si="18"/>
        <v>1657.7177079099711</v>
      </c>
      <c r="S83" s="958" t="s">
        <v>692</v>
      </c>
      <c r="T83" s="31"/>
      <c r="U83" s="31"/>
      <c r="V83" s="31"/>
      <c r="W83" s="31"/>
      <c r="X83" s="31"/>
      <c r="Y83" s="31"/>
      <c r="Z83" s="31"/>
      <c r="AA83" s="31"/>
      <c r="AB83" s="31"/>
      <c r="AC83" s="31"/>
    </row>
    <row r="84" spans="1:29">
      <c r="A84" s="63" t="s">
        <v>102</v>
      </c>
      <c r="B84"/>
      <c r="D84" s="51"/>
      <c r="I84" s="31">
        <f ca="1">-(I15+I16)</f>
        <v>151.37171588516125</v>
      </c>
      <c r="J84" s="31">
        <f t="shared" ref="J84:R84" ca="1" si="19">-(J15+J16)</f>
        <v>143.22519264684854</v>
      </c>
      <c r="K84" s="31">
        <f t="shared" ca="1" si="19"/>
        <v>176.69697795396098</v>
      </c>
      <c r="L84" s="31">
        <f t="shared" ca="1" si="19"/>
        <v>213.60373351976912</v>
      </c>
      <c r="M84" s="31">
        <f t="shared" ca="1" si="19"/>
        <v>253.78903875090919</v>
      </c>
      <c r="N84" s="31">
        <f t="shared" ca="1" si="19"/>
        <v>298.39296747708045</v>
      </c>
      <c r="O84" s="31">
        <f t="shared" ca="1" si="19"/>
        <v>348.15960399002546</v>
      </c>
      <c r="P84" s="31">
        <f t="shared" ca="1" si="19"/>
        <v>401.26144491993819</v>
      </c>
      <c r="Q84" s="31">
        <f t="shared" ca="1" si="19"/>
        <v>458.11262545210354</v>
      </c>
      <c r="R84" s="31">
        <f t="shared" ca="1" si="19"/>
        <v>519.88982081925724</v>
      </c>
      <c r="S84" s="958" t="s">
        <v>692</v>
      </c>
      <c r="T84" s="31"/>
      <c r="U84" s="31"/>
      <c r="V84" s="31"/>
      <c r="W84" s="31"/>
      <c r="X84" s="31"/>
      <c r="Y84" s="31"/>
      <c r="Z84" s="31"/>
      <c r="AA84" s="31"/>
      <c r="AB84" s="31"/>
      <c r="AC84" s="31"/>
    </row>
    <row r="85" spans="1:29">
      <c r="A85" s="63" t="s">
        <v>103</v>
      </c>
      <c r="B85"/>
      <c r="D85" s="51"/>
      <c r="G85" s="56"/>
      <c r="I85" s="31">
        <f>-(SUM(I36:I39)-SUM(D36:D39))</f>
        <v>-1005.8037696636602</v>
      </c>
      <c r="J85" s="31">
        <f>-(SUM(J36:J39)-SUM(I36:I39))</f>
        <v>-76.25469270375379</v>
      </c>
      <c r="K85" s="31">
        <f t="shared" ref="K85:R85" si="20">-(SUM(K36:K39)-SUM(J36:J39))</f>
        <v>-76.620713740412612</v>
      </c>
      <c r="L85" s="31">
        <f t="shared" si="20"/>
        <v>-82.560247259171774</v>
      </c>
      <c r="M85" s="31">
        <f t="shared" si="20"/>
        <v>-71.391652461348713</v>
      </c>
      <c r="N85" s="31">
        <f t="shared" si="20"/>
        <v>-70.785780880798484</v>
      </c>
      <c r="O85" s="31">
        <f t="shared" si="20"/>
        <v>-64.122657696834722</v>
      </c>
      <c r="P85" s="31">
        <f t="shared" si="20"/>
        <v>-54.72605676688454</v>
      </c>
      <c r="Q85" s="31">
        <f t="shared" si="20"/>
        <v>-50.136381980876649</v>
      </c>
      <c r="R85" s="31">
        <f t="shared" si="20"/>
        <v>-47.193187756425687</v>
      </c>
      <c r="S85" s="958" t="s">
        <v>692</v>
      </c>
      <c r="T85" s="31"/>
      <c r="U85" s="31"/>
      <c r="V85" s="31"/>
      <c r="W85" s="31"/>
      <c r="X85" s="31"/>
      <c r="Y85" s="31"/>
      <c r="Z85" s="31"/>
      <c r="AA85" s="31"/>
      <c r="AB85" s="31"/>
      <c r="AC85" s="31"/>
    </row>
    <row r="86" spans="1:29">
      <c r="A86" s="63" t="s">
        <v>104</v>
      </c>
      <c r="B86"/>
      <c r="D86" s="51"/>
      <c r="I86" s="31">
        <f>I57-D57</f>
        <v>2327.2857961454847</v>
      </c>
      <c r="J86" s="31">
        <f>J57-I57</f>
        <v>1038.8524882466909</v>
      </c>
      <c r="K86" s="31">
        <f t="shared" ref="K86:R86" si="21">K57-J57</f>
        <v>950.4953163574155</v>
      </c>
      <c r="L86" s="31">
        <f t="shared" si="21"/>
        <v>1028.2769661889542</v>
      </c>
      <c r="M86" s="31">
        <f t="shared" si="21"/>
        <v>656.33131941206102</v>
      </c>
      <c r="N86" s="31">
        <f t="shared" si="21"/>
        <v>587.96874104631661</v>
      </c>
      <c r="O86" s="31">
        <f t="shared" si="21"/>
        <v>435.35147812406194</v>
      </c>
      <c r="P86" s="31">
        <f t="shared" si="21"/>
        <v>256.04713802771948</v>
      </c>
      <c r="Q86" s="31">
        <f t="shared" si="21"/>
        <v>126.22724230652238</v>
      </c>
      <c r="R86" s="31">
        <f t="shared" si="21"/>
        <v>12.59232701826113</v>
      </c>
      <c r="S86" s="958" t="s">
        <v>692</v>
      </c>
      <c r="T86" s="31"/>
      <c r="U86" s="31"/>
      <c r="V86" s="31"/>
      <c r="W86" s="31"/>
      <c r="X86" s="31"/>
      <c r="Y86" s="31"/>
      <c r="Z86" s="31"/>
      <c r="AA86" s="31"/>
      <c r="AB86" s="31"/>
      <c r="AC86" s="31"/>
    </row>
    <row r="87" spans="1:29">
      <c r="A87" s="63" t="s">
        <v>105</v>
      </c>
      <c r="B87"/>
      <c r="D87" s="51"/>
      <c r="I87" s="31">
        <f ca="1">-((I76-D76)+(I79-D79))</f>
        <v>-427.55717479666612</v>
      </c>
      <c r="J87" s="31">
        <f ca="1">-((J76-I76)+(J79-I79))</f>
        <v>-302.4624895112039</v>
      </c>
      <c r="K87" s="31">
        <f t="shared" ref="K87:R87" ca="1" si="22">-((K76-J76)+(K79-J79))</f>
        <v>-322.47750710923106</v>
      </c>
      <c r="L87" s="31">
        <f t="shared" ca="1" si="22"/>
        <v>-368.91593693832328</v>
      </c>
      <c r="M87" s="31">
        <f t="shared" ca="1" si="22"/>
        <v>-395.21411250680558</v>
      </c>
      <c r="N87" s="31">
        <f t="shared" ca="1" si="22"/>
        <v>-461.33748445097763</v>
      </c>
      <c r="O87" s="31">
        <f t="shared" ca="1" si="22"/>
        <v>-501.51134353965608</v>
      </c>
      <c r="P87" s="31">
        <f t="shared" ca="1" si="22"/>
        <v>-534.93963802243752</v>
      </c>
      <c r="Q87" s="31">
        <f t="shared" ca="1" si="22"/>
        <v>-575.87089273039601</v>
      </c>
      <c r="R87" s="31">
        <f t="shared" ca="1" si="22"/>
        <v>-632.24526970128272</v>
      </c>
      <c r="S87" s="958" t="s">
        <v>692</v>
      </c>
      <c r="T87" s="31"/>
      <c r="U87" s="31"/>
      <c r="V87" s="31"/>
      <c r="W87" s="31"/>
      <c r="X87" s="31"/>
      <c r="Y87" s="31"/>
      <c r="Z87" s="31"/>
      <c r="AA87" s="31"/>
      <c r="AB87" s="31"/>
      <c r="AC87" s="31"/>
    </row>
    <row r="88" spans="1:29">
      <c r="A88" s="63" t="s">
        <v>106</v>
      </c>
      <c r="B88"/>
      <c r="D88" s="51"/>
      <c r="I88" s="31">
        <f ca="1">-(1-'Simu rates'!I29)*I23</f>
        <v>97.396551724137936</v>
      </c>
      <c r="J88" s="31">
        <f ca="1">-(1-'Simu rates'!J29)*J23</f>
        <v>96.744827586206895</v>
      </c>
      <c r="K88" s="31">
        <f ca="1">-(1-'Simu rates'!K29)*K23</f>
        <v>96.744827586206895</v>
      </c>
      <c r="L88" s="31">
        <f ca="1">-(1-'Simu rates'!L29)*L23</f>
        <v>96.744827586206895</v>
      </c>
      <c r="M88" s="31">
        <f ca="1">-(1-'Simu rates'!M29)*M23</f>
        <v>96.744827586206895</v>
      </c>
      <c r="N88" s="31">
        <f ca="1">-(1-'Simu rates'!N29)*N23</f>
        <v>96.744827586206895</v>
      </c>
      <c r="O88" s="31">
        <f ca="1">-(1-'Simu rates'!O29)*O23</f>
        <v>77.395862068965528</v>
      </c>
      <c r="P88" s="31">
        <f ca="1">-(1-'Simu rates'!P29)*P23</f>
        <v>77.395862068965528</v>
      </c>
      <c r="Q88" s="31">
        <f ca="1">-(1-'Simu rates'!Q29)*Q23</f>
        <v>77.395862068965528</v>
      </c>
      <c r="R88" s="31">
        <f ca="1">-(1-'Simu rates'!R29)*R23</f>
        <v>77.395862068965528</v>
      </c>
      <c r="S88" s="958" t="s">
        <v>692</v>
      </c>
      <c r="T88" s="31"/>
      <c r="U88" s="31"/>
      <c r="V88" s="31"/>
      <c r="W88" s="31"/>
      <c r="X88" s="31"/>
      <c r="Y88" s="31"/>
      <c r="Z88" s="31"/>
      <c r="AA88" s="31"/>
      <c r="AB88" s="31"/>
      <c r="AC88" s="31"/>
    </row>
    <row r="89" spans="1:29">
      <c r="A89" s="63" t="s">
        <v>107</v>
      </c>
      <c r="B89"/>
      <c r="D89" s="51"/>
      <c r="I89" s="31">
        <f ca="1">-(1-'Simu rates'!I29)*'Simu vals'!I22</f>
        <v>-75.398557832286173</v>
      </c>
      <c r="J89" s="31">
        <f ca="1">-(1-'Simu rates'!J29)*'Simu vals'!J22</f>
        <v>-72.57581025368502</v>
      </c>
      <c r="K89" s="31">
        <f ca="1">-(1-'Simu rates'!K29)*'Simu vals'!K22</f>
        <v>-66.240260561220239</v>
      </c>
      <c r="L89" s="31">
        <f ca="1">-(1-'Simu rates'!L29)*'Simu vals'!L22</f>
        <v>-62.446233156648695</v>
      </c>
      <c r="M89" s="31">
        <f ca="1">-(1-'Simu rates'!M29)*'Simu vals'!M22</f>
        <v>-60.271241867125632</v>
      </c>
      <c r="N89" s="31">
        <f ca="1">-(1-'Simu rates'!N29)*'Simu vals'!N22</f>
        <v>-59.712973558464228</v>
      </c>
      <c r="O89" s="31">
        <f ca="1">-(1-'Simu rates'!O29)*'Simu vals'!O22</f>
        <v>-50.723477580032203</v>
      </c>
      <c r="P89" s="31">
        <f ca="1">-(1-'Simu rates'!P29)*'Simu vals'!P22</f>
        <v>-56.81649605826945</v>
      </c>
      <c r="Q89" s="31">
        <f ca="1">-(1-'Simu rates'!Q29)*'Simu vals'!Q22</f>
        <v>-66.398671232121998</v>
      </c>
      <c r="R89" s="31">
        <f ca="1">-(1-'Simu rates'!R29)*'Simu vals'!R22</f>
        <v>-80.368775602171297</v>
      </c>
      <c r="S89" s="958" t="s">
        <v>692</v>
      </c>
      <c r="T89" s="31"/>
      <c r="U89" s="31"/>
      <c r="V89" s="31"/>
      <c r="W89" s="31"/>
      <c r="X89" s="31"/>
      <c r="Y89" s="31"/>
      <c r="Z89" s="31"/>
      <c r="AA89" s="31"/>
      <c r="AB89" s="31"/>
      <c r="AC89" s="31"/>
    </row>
    <row r="90" spans="1:29">
      <c r="A90" s="62" t="s">
        <v>108</v>
      </c>
      <c r="D90" s="51"/>
      <c r="I90" s="799">
        <f ca="1">SUM(I83:I89)</f>
        <v>-257.86096180332623</v>
      </c>
      <c r="J90" s="799">
        <f t="shared" ref="J90:R90" ca="1" si="23">SUM(J83:J89)</f>
        <v>-423.33837078578711</v>
      </c>
      <c r="K90" s="799">
        <f t="shared" ca="1" si="23"/>
        <v>-366.72800385201259</v>
      </c>
      <c r="L90" s="799">
        <f t="shared" ca="1" si="23"/>
        <v>-74.339155302985773</v>
      </c>
      <c r="M90" s="799">
        <f t="shared" ca="1" si="23"/>
        <v>-144.88750315144989</v>
      </c>
      <c r="N90" s="31">
        <f t="shared" ca="1" si="23"/>
        <v>143.95716841009158</v>
      </c>
      <c r="O90" s="31">
        <f t="shared" ca="1" si="23"/>
        <v>428.48433014696121</v>
      </c>
      <c r="P90" s="31">
        <f t="shared" ca="1" si="23"/>
        <v>706.46663188340881</v>
      </c>
      <c r="Q90" s="31">
        <f t="shared" ca="1" si="23"/>
        <v>1077.5180593966297</v>
      </c>
      <c r="R90" s="31">
        <f t="shared" ca="1" si="23"/>
        <v>1507.7884847565751</v>
      </c>
      <c r="S90" s="958" t="s">
        <v>692</v>
      </c>
      <c r="T90" s="799"/>
      <c r="U90" s="799"/>
      <c r="V90" s="799"/>
      <c r="W90" s="799"/>
      <c r="X90" s="799"/>
      <c r="Y90" s="31"/>
      <c r="Z90" s="31"/>
      <c r="AA90" s="31"/>
      <c r="AB90" s="31"/>
      <c r="AC90" s="31"/>
    </row>
    <row r="92" spans="1:29" ht="18">
      <c r="A92" s="64" t="s">
        <v>109</v>
      </c>
    </row>
    <row r="93" spans="1:29" s="53" customFormat="1">
      <c r="A93" s="65" t="s">
        <v>110</v>
      </c>
      <c r="B93" s="52">
        <v>0.10219324315986869</v>
      </c>
      <c r="C93" s="958" t="s">
        <v>693</v>
      </c>
      <c r="S93"/>
      <c r="T93"/>
    </row>
    <row r="94" spans="1:29" s="53" customFormat="1">
      <c r="A94" s="65" t="s">
        <v>111</v>
      </c>
      <c r="B94" s="52">
        <v>2.3665454545454542E-2</v>
      </c>
      <c r="C94" s="958" t="s">
        <v>693</v>
      </c>
      <c r="S94"/>
      <c r="T94"/>
    </row>
    <row r="95" spans="1:29">
      <c r="A95" s="65"/>
      <c r="B95" s="116"/>
      <c r="C95" s="424"/>
    </row>
    <row r="96" spans="1:29">
      <c r="A96" s="65"/>
    </row>
    <row r="97" spans="1:19">
      <c r="A97" s="58" t="s">
        <v>112</v>
      </c>
      <c r="I97" s="48">
        <f ca="1">I90</f>
        <v>-257.86096180332623</v>
      </c>
      <c r="J97" s="48">
        <f t="shared" ref="J97:R97" ca="1" si="24">J90</f>
        <v>-423.33837078578711</v>
      </c>
      <c r="K97" s="48">
        <f t="shared" ca="1" si="24"/>
        <v>-366.72800385201259</v>
      </c>
      <c r="L97" s="48">
        <f t="shared" ca="1" si="24"/>
        <v>-74.339155302985773</v>
      </c>
      <c r="M97" s="48">
        <f t="shared" ca="1" si="24"/>
        <v>-144.88750315144989</v>
      </c>
      <c r="N97" s="48">
        <f t="shared" ca="1" si="24"/>
        <v>143.95716841009158</v>
      </c>
      <c r="O97" s="48">
        <f t="shared" ca="1" si="24"/>
        <v>428.48433014696121</v>
      </c>
      <c r="P97" s="48">
        <f t="shared" ca="1" si="24"/>
        <v>706.46663188340881</v>
      </c>
      <c r="Q97" s="48">
        <f t="shared" ca="1" si="24"/>
        <v>1077.5180593966297</v>
      </c>
      <c r="R97" s="48">
        <f t="shared" ca="1" si="24"/>
        <v>1507.7884847565751</v>
      </c>
      <c r="S97" s="958" t="s">
        <v>692</v>
      </c>
    </row>
    <row r="98" spans="1:19">
      <c r="A98" s="58" t="s">
        <v>113</v>
      </c>
      <c r="I98" s="48"/>
      <c r="J98" s="48"/>
      <c r="K98" s="48"/>
      <c r="L98" s="48"/>
      <c r="M98" s="48"/>
      <c r="N98" s="48"/>
      <c r="O98" s="48"/>
      <c r="P98" s="48"/>
      <c r="Q98" s="48"/>
      <c r="R98" s="48">
        <f ca="1">R97*(1+B94)/(B93-B94)</f>
        <v>19655.092952960476</v>
      </c>
      <c r="S98" s="958" t="s">
        <v>692</v>
      </c>
    </row>
    <row r="99" spans="1:19">
      <c r="A99" s="58" t="s">
        <v>114</v>
      </c>
      <c r="I99" s="48">
        <f ca="1">SUM(I97:I98)</f>
        <v>-257.86096180332623</v>
      </c>
      <c r="J99" s="48">
        <f t="shared" ref="J99:R99" ca="1" si="25">SUM(J97:J98)</f>
        <v>-423.33837078578711</v>
      </c>
      <c r="K99" s="48">
        <f t="shared" ca="1" si="25"/>
        <v>-366.72800385201259</v>
      </c>
      <c r="L99" s="48">
        <f t="shared" ca="1" si="25"/>
        <v>-74.339155302985773</v>
      </c>
      <c r="M99" s="48">
        <f t="shared" ca="1" si="25"/>
        <v>-144.88750315144989</v>
      </c>
      <c r="N99" s="48">
        <f t="shared" ca="1" si="25"/>
        <v>143.95716841009158</v>
      </c>
      <c r="O99" s="48">
        <f t="shared" ca="1" si="25"/>
        <v>428.48433014696121</v>
      </c>
      <c r="P99" s="48">
        <f t="shared" ca="1" si="25"/>
        <v>706.46663188340881</v>
      </c>
      <c r="Q99" s="48">
        <f t="shared" ca="1" si="25"/>
        <v>1077.5180593966297</v>
      </c>
      <c r="R99" s="48">
        <f t="shared" ca="1" si="25"/>
        <v>21162.881437717053</v>
      </c>
      <c r="S99" s="958" t="s">
        <v>692</v>
      </c>
    </row>
    <row r="100" spans="1:19" ht="15.75" thickBot="1"/>
    <row r="101" spans="1:19">
      <c r="A101" s="58" t="s">
        <v>687</v>
      </c>
      <c r="B101" s="54">
        <f ca="1">NPV(B93,I99:R99)*(1+B93)^0.5</f>
        <v>8475.3459494507806</v>
      </c>
      <c r="C101" s="958" t="s">
        <v>692</v>
      </c>
    </row>
    <row r="102" spans="1:19">
      <c r="A102" s="58" t="s">
        <v>115</v>
      </c>
      <c r="B102" s="55">
        <f>D35</f>
        <v>4991</v>
      </c>
      <c r="C102" s="958" t="s">
        <v>692</v>
      </c>
    </row>
    <row r="103" spans="1:19">
      <c r="A103" s="58" t="s">
        <v>116</v>
      </c>
      <c r="B103" s="55">
        <f ca="1">B101+B102</f>
        <v>13466.345949450781</v>
      </c>
      <c r="C103" s="958" t="s">
        <v>692</v>
      </c>
    </row>
    <row r="104" spans="1:19">
      <c r="A104" s="58" t="s">
        <v>117</v>
      </c>
      <c r="B104" s="55">
        <f>-D59</f>
        <v>-2031</v>
      </c>
      <c r="C104" s="958" t="s">
        <v>692</v>
      </c>
    </row>
    <row r="105" spans="1:19">
      <c r="A105" s="58" t="s">
        <v>119</v>
      </c>
      <c r="B105" s="55">
        <f ca="1">B103+B104</f>
        <v>11435.345949450781</v>
      </c>
      <c r="C105" s="958" t="s">
        <v>692</v>
      </c>
    </row>
    <row r="106" spans="1:19">
      <c r="A106" s="58" t="s">
        <v>120</v>
      </c>
      <c r="B106" s="33">
        <v>3741.98</v>
      </c>
      <c r="C106" s="958" t="s">
        <v>697</v>
      </c>
    </row>
    <row r="107" spans="1:19" ht="15.75" thickBot="1">
      <c r="A107" s="58" t="s">
        <v>121</v>
      </c>
      <c r="B107" s="803">
        <f ca="1">B105/B106</f>
        <v>3.0559612690208873</v>
      </c>
      <c r="C107" s="958" t="s">
        <v>692</v>
      </c>
    </row>
    <row r="109" spans="1:19" ht="17.25">
      <c r="A109" s="73" t="s">
        <v>122</v>
      </c>
      <c r="B109" s="22"/>
      <c r="C109" s="22"/>
      <c r="D109" s="22"/>
      <c r="E109" s="22"/>
      <c r="F109" s="22"/>
      <c r="G109" s="22"/>
      <c r="H109" s="22"/>
      <c r="I109" s="22"/>
      <c r="J109" s="22"/>
      <c r="K109" s="22"/>
      <c r="L109" s="22"/>
      <c r="M109" s="22"/>
      <c r="N109" s="22"/>
      <c r="O109" s="22"/>
      <c r="P109" s="22"/>
      <c r="Q109" s="22"/>
      <c r="R109" s="22"/>
    </row>
    <row r="110" spans="1:19">
      <c r="E110" s="70"/>
    </row>
    <row r="111" spans="1:19">
      <c r="D111"/>
      <c r="E111"/>
      <c r="F111"/>
      <c r="G111"/>
      <c r="H111"/>
      <c r="I111"/>
      <c r="J111"/>
      <c r="K111"/>
      <c r="L111"/>
      <c r="M111"/>
      <c r="N111"/>
      <c r="O111"/>
    </row>
    <row r="112" spans="1:19">
      <c r="B112" s="69"/>
      <c r="C112" s="70"/>
      <c r="D112"/>
      <c r="E112"/>
      <c r="F112"/>
      <c r="G112"/>
      <c r="H112"/>
      <c r="I112"/>
      <c r="J112"/>
      <c r="K112"/>
      <c r="L112"/>
      <c r="M112"/>
      <c r="N112"/>
      <c r="O112"/>
    </row>
    <row r="113" spans="2:15">
      <c r="D113"/>
      <c r="E113"/>
      <c r="F113"/>
      <c r="G113"/>
      <c r="H113"/>
      <c r="I113"/>
      <c r="J113"/>
      <c r="K113"/>
      <c r="L113"/>
      <c r="M113"/>
      <c r="N113"/>
      <c r="O113"/>
    </row>
    <row r="114" spans="2:15">
      <c r="D114"/>
      <c r="E114"/>
      <c r="F114"/>
      <c r="G114"/>
      <c r="H114"/>
      <c r="I114"/>
      <c r="J114"/>
      <c r="K114"/>
      <c r="L114"/>
      <c r="M114"/>
      <c r="N114"/>
      <c r="O114"/>
    </row>
    <row r="115" spans="2:15">
      <c r="D115"/>
      <c r="E115"/>
      <c r="F115"/>
      <c r="G115"/>
      <c r="H115"/>
      <c r="I115"/>
      <c r="J115"/>
      <c r="K115"/>
      <c r="L115"/>
      <c r="M115"/>
      <c r="N115"/>
      <c r="O115"/>
    </row>
    <row r="116" spans="2:15">
      <c r="D116"/>
      <c r="E116"/>
      <c r="F116"/>
      <c r="G116"/>
      <c r="H116"/>
      <c r="I116"/>
      <c r="J116"/>
      <c r="K116"/>
      <c r="L116"/>
      <c r="M116"/>
      <c r="N116"/>
      <c r="O116"/>
    </row>
    <row r="117" spans="2:15">
      <c r="D117"/>
      <c r="E117"/>
      <c r="F117"/>
      <c r="G117"/>
      <c r="H117"/>
      <c r="I117"/>
      <c r="J117"/>
      <c r="K117"/>
      <c r="L117"/>
      <c r="M117"/>
      <c r="N117"/>
      <c r="O117"/>
    </row>
    <row r="118" spans="2:15">
      <c r="D118"/>
      <c r="E118"/>
      <c r="F118"/>
      <c r="G118"/>
      <c r="H118"/>
      <c r="I118"/>
      <c r="J118"/>
      <c r="K118"/>
      <c r="L118"/>
      <c r="M118"/>
      <c r="N118"/>
      <c r="O118"/>
    </row>
    <row r="119" spans="2:15">
      <c r="D119"/>
      <c r="E119"/>
      <c r="F119"/>
      <c r="G119"/>
      <c r="H119"/>
      <c r="I119"/>
      <c r="J119"/>
      <c r="K119"/>
      <c r="L119"/>
      <c r="M119"/>
      <c r="N119"/>
      <c r="O119"/>
    </row>
    <row r="120" spans="2:15">
      <c r="D120"/>
      <c r="E120"/>
      <c r="F120"/>
      <c r="G120"/>
      <c r="H120"/>
    </row>
    <row r="121" spans="2:15" ht="15.75" thickBot="1">
      <c r="D121"/>
      <c r="E121"/>
      <c r="F121"/>
      <c r="G121"/>
      <c r="H121"/>
    </row>
    <row r="122" spans="2:15">
      <c r="C122" s="69"/>
      <c r="D122"/>
      <c r="E122"/>
      <c r="F122"/>
      <c r="G122"/>
      <c r="H122"/>
      <c r="J122" s="72" t="s">
        <v>123</v>
      </c>
      <c r="K122" s="66"/>
      <c r="L122" s="66"/>
      <c r="M122" s="66"/>
      <c r="N122" s="66"/>
      <c r="O122" s="46"/>
    </row>
    <row r="123" spans="2:15">
      <c r="B123" s="56"/>
      <c r="C123" s="71"/>
      <c r="D123"/>
      <c r="E123"/>
      <c r="F123"/>
      <c r="G123"/>
      <c r="H123"/>
      <c r="J123" s="75" t="s">
        <v>124</v>
      </c>
      <c r="O123" s="39"/>
    </row>
    <row r="124" spans="2:15">
      <c r="D124"/>
      <c r="E124"/>
      <c r="F124"/>
      <c r="G124"/>
      <c r="H124"/>
      <c r="J124" s="75" t="s">
        <v>125</v>
      </c>
      <c r="O124" s="39"/>
    </row>
    <row r="125" spans="2:15">
      <c r="D125"/>
      <c r="E125"/>
      <c r="F125"/>
      <c r="G125"/>
      <c r="H125"/>
      <c r="J125" s="74" t="s">
        <v>126</v>
      </c>
      <c r="O125" s="39"/>
    </row>
    <row r="126" spans="2:15">
      <c r="D126"/>
      <c r="E126"/>
      <c r="F126"/>
      <c r="G126"/>
      <c r="H126"/>
      <c r="J126" s="74" t="s">
        <v>127</v>
      </c>
      <c r="O126" s="39"/>
    </row>
    <row r="127" spans="2:15">
      <c r="D127"/>
      <c r="E127"/>
      <c r="F127"/>
      <c r="G127"/>
      <c r="H127"/>
      <c r="J127" s="75" t="s">
        <v>128</v>
      </c>
      <c r="O127" s="39"/>
    </row>
    <row r="128" spans="2:15">
      <c r="C128"/>
      <c r="D128"/>
      <c r="E128"/>
      <c r="F128"/>
      <c r="G128"/>
      <c r="H128"/>
      <c r="J128" s="75" t="s">
        <v>129</v>
      </c>
      <c r="O128" s="39"/>
    </row>
    <row r="129" spans="4:15">
      <c r="D129"/>
      <c r="E129"/>
      <c r="F129"/>
      <c r="G129"/>
      <c r="H129"/>
      <c r="J129" s="75" t="s">
        <v>130</v>
      </c>
      <c r="O129" s="39"/>
    </row>
    <row r="130" spans="4:15">
      <c r="D130"/>
      <c r="E130"/>
      <c r="F130"/>
      <c r="G130"/>
      <c r="H130"/>
      <c r="J130" s="75" t="s">
        <v>131</v>
      </c>
      <c r="O130" s="39"/>
    </row>
    <row r="131" spans="4:15">
      <c r="D131"/>
      <c r="E131"/>
      <c r="F131"/>
      <c r="G131"/>
      <c r="H131"/>
      <c r="J131" s="75" t="s">
        <v>132</v>
      </c>
      <c r="O131" s="39"/>
    </row>
    <row r="132" spans="4:15" ht="15.75" thickBot="1">
      <c r="J132" s="76" t="s">
        <v>133</v>
      </c>
      <c r="K132" s="67"/>
      <c r="L132" s="67"/>
      <c r="M132" s="67"/>
      <c r="N132" s="67"/>
      <c r="O132" s="6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8AB6-19F8-49CF-B8A8-DF7DD9F8B2D6}">
  <sheetPr codeName="Sheet16"/>
  <dimension ref="A1:S31"/>
  <sheetViews>
    <sheetView showGridLines="0" tabSelected="1" workbookViewId="0">
      <selection activeCell="G12" sqref="G12"/>
    </sheetView>
  </sheetViews>
  <sheetFormatPr defaultRowHeight="15"/>
  <cols>
    <col min="1" max="1" width="30.28515625" bestFit="1" customWidth="1"/>
  </cols>
  <sheetData>
    <row r="1" spans="1:19" ht="15.75">
      <c r="A1" s="78"/>
      <c r="B1" s="24" t="s">
        <v>23</v>
      </c>
      <c r="C1" s="24" t="s">
        <v>24</v>
      </c>
      <c r="D1" s="24" t="s">
        <v>25</v>
      </c>
      <c r="E1" s="24" t="s">
        <v>26</v>
      </c>
      <c r="F1" s="24" t="s">
        <v>27</v>
      </c>
      <c r="G1" s="24" t="s">
        <v>28</v>
      </c>
      <c r="H1" s="25" t="s">
        <v>29</v>
      </c>
      <c r="I1" s="25" t="s">
        <v>30</v>
      </c>
      <c r="J1" s="25" t="s">
        <v>31</v>
      </c>
      <c r="K1" s="25" t="s">
        <v>32</v>
      </c>
      <c r="L1" s="25" t="s">
        <v>33</v>
      </c>
      <c r="M1" s="25" t="s">
        <v>34</v>
      </c>
      <c r="N1" s="25" t="s">
        <v>35</v>
      </c>
      <c r="O1" s="25" t="s">
        <v>36</v>
      </c>
      <c r="P1" s="25" t="s">
        <v>37</v>
      </c>
      <c r="Q1" s="25" t="s">
        <v>38</v>
      </c>
      <c r="R1" s="25" t="s">
        <v>39</v>
      </c>
    </row>
    <row r="2" spans="1:19">
      <c r="A2" s="20" t="s">
        <v>699</v>
      </c>
    </row>
    <row r="3" spans="1:19">
      <c r="A3" t="s">
        <v>689</v>
      </c>
      <c r="I3" s="114">
        <v>1.0080810322715943</v>
      </c>
      <c r="J3" s="86">
        <v>0.50341754787651405</v>
      </c>
      <c r="K3" s="86">
        <v>0.37013150977173154</v>
      </c>
      <c r="L3" s="86">
        <v>0.32148181206703691</v>
      </c>
      <c r="M3" s="86">
        <v>0.19281889997308063</v>
      </c>
      <c r="N3" s="86">
        <v>0.17790819162288771</v>
      </c>
      <c r="O3" s="86">
        <v>0.15282734756110997</v>
      </c>
      <c r="P3" s="86">
        <v>0.1292162668833135</v>
      </c>
      <c r="Q3" s="86">
        <v>0.11556329397781437</v>
      </c>
      <c r="R3" s="86">
        <v>0.1069901427425977</v>
      </c>
      <c r="S3" t="s">
        <v>694</v>
      </c>
    </row>
    <row r="4" spans="1:19">
      <c r="A4" t="s">
        <v>691</v>
      </c>
      <c r="I4" s="114">
        <v>1.0404292926756513</v>
      </c>
      <c r="J4" s="86">
        <v>0.84043305796119461</v>
      </c>
      <c r="K4" s="86">
        <v>0.72219036191102404</v>
      </c>
      <c r="L4" s="86">
        <v>0.63380693954149014</v>
      </c>
      <c r="M4" s="86">
        <v>0.57634369837487476</v>
      </c>
      <c r="N4" s="86">
        <v>0.52476395216632499</v>
      </c>
      <c r="O4" s="86">
        <v>0.48002190670311373</v>
      </c>
      <c r="P4" s="86">
        <v>0.44095680852351193</v>
      </c>
      <c r="Q4" s="86">
        <v>0.40653074425451369</v>
      </c>
      <c r="R4" s="86">
        <v>0.3756958507766151</v>
      </c>
      <c r="S4" t="s">
        <v>694</v>
      </c>
    </row>
    <row r="5" spans="1:19">
      <c r="A5" t="s">
        <v>71</v>
      </c>
      <c r="I5" s="984">
        <v>4.3365621820668272</v>
      </c>
      <c r="J5" s="276">
        <v>5.4146385000909181</v>
      </c>
      <c r="K5" s="276">
        <v>6.3230949455210101</v>
      </c>
      <c r="L5" s="276">
        <v>7.2093738366846871</v>
      </c>
      <c r="M5" s="276">
        <v>7.6500637387751365</v>
      </c>
      <c r="N5" s="276">
        <v>8.1124088613613026</v>
      </c>
      <c r="O5" s="276">
        <v>8.5629754850943396</v>
      </c>
      <c r="P5" s="276">
        <v>9.0031357528967462</v>
      </c>
      <c r="Q5" s="276">
        <v>9.4317786941564119</v>
      </c>
      <c r="R5" s="276">
        <v>9.8598023427929409</v>
      </c>
    </row>
    <row r="7" spans="1:19">
      <c r="A7" s="20" t="s">
        <v>698</v>
      </c>
    </row>
    <row r="8" spans="1:19">
      <c r="A8" t="s">
        <v>194</v>
      </c>
      <c r="I8" s="280">
        <v>0.15</v>
      </c>
      <c r="J8" s="280">
        <v>0.10722248268521765</v>
      </c>
      <c r="K8" s="280">
        <v>0.10688150191221983</v>
      </c>
      <c r="L8" s="280">
        <v>0.10664029808738383</v>
      </c>
      <c r="M8" s="280">
        <v>0.1064908101920951</v>
      </c>
      <c r="N8" s="280">
        <v>0.10627120905872689</v>
      </c>
      <c r="O8" s="280">
        <v>0.10611434871090748</v>
      </c>
      <c r="P8" s="280">
        <v>0.10601377170898896</v>
      </c>
      <c r="Q8" s="280">
        <v>0.10597437323027663</v>
      </c>
      <c r="R8" s="280">
        <v>0.10595550872731002</v>
      </c>
    </row>
    <row r="9" spans="1:19">
      <c r="A9" t="s">
        <v>191</v>
      </c>
      <c r="I9" s="280">
        <v>1.1036903158009629E-2</v>
      </c>
      <c r="J9" s="280">
        <v>1.291718505608524E-2</v>
      </c>
      <c r="K9" s="280">
        <v>1.481720739319684E-2</v>
      </c>
      <c r="L9" s="280">
        <v>1.6826456265485526E-2</v>
      </c>
      <c r="M9" s="280">
        <v>1.865194445446574E-2</v>
      </c>
      <c r="N9" s="280">
        <v>2.0472181108863306E-2</v>
      </c>
      <c r="O9" s="280">
        <v>2.2168302039077301E-2</v>
      </c>
      <c r="P9" s="280">
        <v>2.3660153567100262E-2</v>
      </c>
      <c r="Q9" s="280">
        <v>2.5081531475821314E-2</v>
      </c>
      <c r="R9" s="280">
        <v>2.6469940248860725E-2</v>
      </c>
    </row>
    <row r="12" spans="1:19">
      <c r="A12" s="91" t="s">
        <v>166</v>
      </c>
      <c r="B12" s="2"/>
      <c r="C12" s="2"/>
      <c r="D12" s="2"/>
      <c r="E12" s="7"/>
      <c r="F12" s="2"/>
      <c r="G12" s="2"/>
      <c r="H12" s="8"/>
    </row>
    <row r="13" spans="1:19">
      <c r="A13" s="190" t="s">
        <v>70</v>
      </c>
      <c r="B13" s="199">
        <v>134.6</v>
      </c>
      <c r="C13" s="199">
        <v>192</v>
      </c>
      <c r="D13" s="199">
        <v>181.25</v>
      </c>
      <c r="E13" s="200">
        <v>6.1333333333333337</v>
      </c>
      <c r="F13" s="199">
        <v>6.3829787234042552</v>
      </c>
      <c r="G13" s="199">
        <v>6.7380952380952381</v>
      </c>
      <c r="H13" s="201" t="e">
        <v>#DIV/0!</v>
      </c>
      <c r="I13" s="199">
        <v>25</v>
      </c>
      <c r="J13" s="199">
        <v>25</v>
      </c>
      <c r="K13" s="199">
        <v>25</v>
      </c>
      <c r="L13" s="199">
        <v>25</v>
      </c>
      <c r="M13" s="199">
        <v>25</v>
      </c>
      <c r="N13" s="199">
        <v>25</v>
      </c>
      <c r="O13" s="199">
        <v>25</v>
      </c>
      <c r="P13" s="199">
        <v>25</v>
      </c>
      <c r="Q13" s="199">
        <v>25</v>
      </c>
      <c r="R13" s="199">
        <v>25</v>
      </c>
    </row>
    <row r="16" spans="1:19">
      <c r="A16" s="20" t="s">
        <v>188</v>
      </c>
      <c r="I16" s="270">
        <v>2.7765159163190751</v>
      </c>
      <c r="J16" s="270">
        <v>3.1875628206846947</v>
      </c>
      <c r="K16" s="270">
        <v>3.5946683418432803</v>
      </c>
      <c r="L16" s="270">
        <v>3.9973326433065748</v>
      </c>
      <c r="M16" s="270">
        <v>4.1672309109264889</v>
      </c>
      <c r="N16" s="270">
        <v>4.2822363970095099</v>
      </c>
      <c r="O16" s="270">
        <v>4.4075673036235052</v>
      </c>
      <c r="P16" s="270">
        <v>4.5523632219349164</v>
      </c>
      <c r="Q16" s="270">
        <v>4.725198180155024</v>
      </c>
      <c r="R16" s="270">
        <v>4.9059367689538576</v>
      </c>
    </row>
    <row r="18" spans="1:18">
      <c r="A18" s="20" t="s">
        <v>189</v>
      </c>
      <c r="I18" s="271">
        <v>1.4993967884771306</v>
      </c>
      <c r="J18" s="271">
        <v>2.2341490705600071</v>
      </c>
      <c r="K18" s="271">
        <v>3.0332902862185178</v>
      </c>
      <c r="L18" s="271">
        <v>3.9696059541659414</v>
      </c>
      <c r="M18" s="271">
        <v>4.6929377402609074</v>
      </c>
      <c r="N18" s="271">
        <v>5.4784221845440921</v>
      </c>
      <c r="O18" s="271">
        <v>6.262578775901253</v>
      </c>
      <c r="P18" s="271">
        <v>7.0190696224748734</v>
      </c>
      <c r="Q18" s="271">
        <v>7.7741649545885219</v>
      </c>
      <c r="R18" s="271">
        <v>8.5453147687754463</v>
      </c>
    </row>
    <row r="20" spans="1:18">
      <c r="A20" s="20" t="s">
        <v>169</v>
      </c>
    </row>
    <row r="21" spans="1:18">
      <c r="A21" t="s">
        <v>170</v>
      </c>
      <c r="B21">
        <v>0.85951468710089396</v>
      </c>
      <c r="C21">
        <v>0.68899521531100483</v>
      </c>
      <c r="D21">
        <v>0.70662768031189083</v>
      </c>
      <c r="E21">
        <v>0.27655310621242485</v>
      </c>
      <c r="F21">
        <v>0.29850746268656714</v>
      </c>
      <c r="G21">
        <v>0.28243512974051899</v>
      </c>
      <c r="H21" t="e">
        <v>#DIV/0!</v>
      </c>
      <c r="I21">
        <v>0.3</v>
      </c>
      <c r="J21">
        <v>0.3</v>
      </c>
      <c r="K21">
        <v>0.3</v>
      </c>
      <c r="L21">
        <v>0.3</v>
      </c>
      <c r="M21">
        <v>0.3</v>
      </c>
      <c r="N21">
        <v>0.3</v>
      </c>
      <c r="O21">
        <v>0.3</v>
      </c>
      <c r="P21">
        <v>0.3</v>
      </c>
      <c r="Q21">
        <v>0.3</v>
      </c>
      <c r="R21">
        <v>0.3</v>
      </c>
    </row>
    <row r="23" spans="1:18">
      <c r="A23" s="20" t="s">
        <v>163</v>
      </c>
    </row>
    <row r="24" spans="1:18">
      <c r="A24" t="s">
        <v>60</v>
      </c>
      <c r="I24" s="4">
        <v>1.4999999999999999E-2</v>
      </c>
      <c r="J24" s="4">
        <v>1.4999999999999999E-2</v>
      </c>
      <c r="K24" s="4">
        <v>1.4999999999999999E-2</v>
      </c>
      <c r="L24" s="4">
        <v>1.4999999999999999E-2</v>
      </c>
      <c r="M24" s="4">
        <v>1.4999999999999999E-2</v>
      </c>
      <c r="N24" s="4">
        <v>1.4999999999999999E-2</v>
      </c>
      <c r="O24" s="4">
        <v>1.4999999999999999E-2</v>
      </c>
      <c r="P24" s="4">
        <v>1.4999999999999999E-2</v>
      </c>
      <c r="Q24" s="4">
        <v>1.4999999999999999E-2</v>
      </c>
      <c r="R24" s="4">
        <v>1.4999999999999999E-2</v>
      </c>
    </row>
    <row r="25" spans="1:18">
      <c r="A25" t="s">
        <v>61</v>
      </c>
      <c r="I25" s="588">
        <v>4.8275862068965517E-2</v>
      </c>
      <c r="J25" s="588">
        <v>4.8275862068965517E-2</v>
      </c>
      <c r="K25" s="588">
        <v>4.8275862068965517E-2</v>
      </c>
      <c r="L25" s="588">
        <v>4.8275862068965517E-2</v>
      </c>
      <c r="M25" s="588">
        <v>4.8275862068965517E-2</v>
      </c>
      <c r="N25" s="588">
        <v>4.8275862068965517E-2</v>
      </c>
      <c r="O25" s="588">
        <v>4.8275862068965517E-2</v>
      </c>
      <c r="P25" s="588">
        <v>4.8275862068965517E-2</v>
      </c>
      <c r="Q25" s="588">
        <v>4.8275862068965517E-2</v>
      </c>
      <c r="R25" s="588">
        <v>4.8275862068965517E-2</v>
      </c>
    </row>
    <row r="27" spans="1:18">
      <c r="A27" t="s">
        <v>165</v>
      </c>
      <c r="B27" s="2"/>
      <c r="C27" s="2"/>
      <c r="D27" s="2"/>
      <c r="E27" s="7"/>
      <c r="F27" s="2"/>
      <c r="G27" s="2"/>
      <c r="H27" s="8"/>
      <c r="I27" s="5">
        <v>0.09</v>
      </c>
      <c r="J27" s="5">
        <f>I27</f>
        <v>0.09</v>
      </c>
      <c r="K27" s="5">
        <f t="shared" ref="K27:R27" si="0">J27</f>
        <v>0.09</v>
      </c>
      <c r="L27" s="5">
        <f t="shared" si="0"/>
        <v>0.09</v>
      </c>
      <c r="M27" s="5">
        <f t="shared" si="0"/>
        <v>0.09</v>
      </c>
      <c r="N27" s="5">
        <f t="shared" si="0"/>
        <v>0.09</v>
      </c>
      <c r="O27" s="5">
        <f t="shared" si="0"/>
        <v>0.09</v>
      </c>
      <c r="P27" s="5">
        <f t="shared" si="0"/>
        <v>0.09</v>
      </c>
      <c r="Q27" s="5">
        <f t="shared" si="0"/>
        <v>0.09</v>
      </c>
      <c r="R27" s="5">
        <f t="shared" si="0"/>
        <v>0.09</v>
      </c>
    </row>
    <row r="29" spans="1:18">
      <c r="A29" t="s">
        <v>580</v>
      </c>
      <c r="I29" s="86">
        <f ca="1">IF('Simu vals'!I24&lt;0,0,20%)</f>
        <v>0</v>
      </c>
      <c r="J29" s="86">
        <f ca="1">IF('Simu vals'!J24&lt;0,0,20%)</f>
        <v>0</v>
      </c>
      <c r="K29" s="86">
        <f ca="1">IF('Simu vals'!K24&lt;0,0,20%)</f>
        <v>0</v>
      </c>
      <c r="L29" s="86">
        <f ca="1">IF('Simu vals'!L24&lt;0,0,20%)</f>
        <v>0</v>
      </c>
      <c r="M29" s="86">
        <f ca="1">IF('Simu vals'!M24&lt;0,0,20%)</f>
        <v>0</v>
      </c>
      <c r="N29" s="86">
        <f ca="1">IF('Simu vals'!N24&lt;0,0,20%)</f>
        <v>0</v>
      </c>
      <c r="O29" s="86">
        <f ca="1">IF('Simu vals'!O24&lt;0,0,20%)</f>
        <v>0.2</v>
      </c>
      <c r="P29" s="86">
        <f ca="1">IF('Simu vals'!P24&lt;0,0,20%)</f>
        <v>0.2</v>
      </c>
      <c r="Q29" s="86">
        <f ca="1">IF('Simu vals'!Q24&lt;0,0,20%)</f>
        <v>0.2</v>
      </c>
      <c r="R29" s="86">
        <f ca="1">IF('Simu vals'!R24&lt;0,0,20%)</f>
        <v>0.2</v>
      </c>
    </row>
    <row r="31" spans="1:18">
      <c r="A31" t="s">
        <v>136</v>
      </c>
      <c r="B31" s="86">
        <v>1.7964497041420118</v>
      </c>
      <c r="C31" s="86">
        <v>-0.22814498933901919</v>
      </c>
      <c r="D31" s="86">
        <v>-7.407407407407407E-2</v>
      </c>
      <c r="E31" s="86">
        <v>-0.21052631578947367</v>
      </c>
      <c r="F31" s="86">
        <v>6.5420560747663545E-2</v>
      </c>
      <c r="G31" s="86">
        <v>0.25916230366492149</v>
      </c>
      <c r="H31" s="86">
        <v>0.65370688566398871</v>
      </c>
      <c r="I31" s="86">
        <v>0.25782415212328152</v>
      </c>
      <c r="J31" s="86">
        <v>0.35340455906316531</v>
      </c>
      <c r="K31" s="86">
        <v>0.42594993572706163</v>
      </c>
      <c r="L31" s="86">
        <v>0.48199411091335387</v>
      </c>
      <c r="M31" s="86">
        <v>0.52099110354029476</v>
      </c>
      <c r="N31" s="86">
        <v>0.55931410065257048</v>
      </c>
      <c r="O31" s="86">
        <v>0.59588109360683883</v>
      </c>
      <c r="P31" s="86">
        <v>0.63074224950782543</v>
      </c>
      <c r="Q31" s="86">
        <v>0.66396439031412346</v>
      </c>
      <c r="R31" s="86">
        <v>0.69598880638213378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EC903-20CC-4F9F-979A-B3DDDC71425E}">
  <sheetPr codeName="Sheet3"/>
  <dimension ref="A1:V135"/>
  <sheetViews>
    <sheetView showGridLines="0" zoomScale="87" workbookViewId="0">
      <pane xSplit="1" ySplit="2" topLeftCell="B79" activePane="bottomRight" state="frozen"/>
      <selection activeCell="H20" sqref="H20"/>
      <selection pane="topRight" activeCell="H20" sqref="H20"/>
      <selection pane="bottomLeft" activeCell="H20" sqref="H20"/>
      <selection pane="bottomRight" activeCell="R101" sqref="R101"/>
    </sheetView>
  </sheetViews>
  <sheetFormatPr defaultColWidth="8.7109375" defaultRowHeight="15" outlineLevelRow="1"/>
  <cols>
    <col min="1" max="1" width="38.42578125" style="58" bestFit="1" customWidth="1"/>
    <col min="2" max="2" width="12.28515625" style="1" customWidth="1"/>
    <col min="3" max="3" width="9" style="1" customWidth="1"/>
    <col min="4" max="4" width="8.28515625" style="1" customWidth="1"/>
    <col min="5" max="7" width="8.5703125" style="1" bestFit="1" customWidth="1"/>
    <col min="8" max="8" width="6.85546875" style="1" bestFit="1" customWidth="1"/>
    <col min="9" max="9" width="8.5703125" style="1" bestFit="1" customWidth="1"/>
    <col min="10" max="18" width="9.42578125" style="1" bestFit="1" customWidth="1"/>
    <col min="21" max="16384" width="8.7109375" style="1"/>
  </cols>
  <sheetData>
    <row r="1" spans="1:19">
      <c r="A1" s="56"/>
      <c r="D1" s="1">
        <v>0</v>
      </c>
      <c r="I1" s="1">
        <v>1</v>
      </c>
      <c r="J1" s="1">
        <v>2</v>
      </c>
      <c r="K1" s="1">
        <v>3</v>
      </c>
      <c r="L1" s="1">
        <v>4</v>
      </c>
      <c r="M1" s="1">
        <v>5</v>
      </c>
      <c r="N1" s="1">
        <v>6</v>
      </c>
      <c r="O1" s="1">
        <v>7</v>
      </c>
      <c r="P1" s="1">
        <v>8</v>
      </c>
      <c r="Q1" s="1">
        <v>9</v>
      </c>
      <c r="R1" s="1">
        <v>10</v>
      </c>
    </row>
    <row r="2" spans="1:19" ht="16.5" thickBot="1">
      <c r="A2" s="233" t="s">
        <v>22</v>
      </c>
      <c r="B2" s="24" t="s">
        <v>23</v>
      </c>
      <c r="C2" s="24" t="s">
        <v>24</v>
      </c>
      <c r="D2" s="24" t="s">
        <v>25</v>
      </c>
      <c r="E2" s="24" t="s">
        <v>26</v>
      </c>
      <c r="F2" s="24" t="s">
        <v>27</v>
      </c>
      <c r="G2" s="24" t="s">
        <v>28</v>
      </c>
      <c r="H2" s="25" t="s">
        <v>29</v>
      </c>
      <c r="I2" s="25" t="s">
        <v>30</v>
      </c>
      <c r="J2" s="25" t="s">
        <v>31</v>
      </c>
      <c r="K2" s="25" t="s">
        <v>32</v>
      </c>
      <c r="L2" s="25" t="s">
        <v>33</v>
      </c>
      <c r="M2" s="25" t="s">
        <v>34</v>
      </c>
      <c r="N2" s="25" t="s">
        <v>35</v>
      </c>
      <c r="O2" s="25" t="s">
        <v>36</v>
      </c>
      <c r="P2" s="25" t="s">
        <v>37</v>
      </c>
      <c r="Q2" s="25" t="s">
        <v>38</v>
      </c>
      <c r="R2" s="25" t="s">
        <v>39</v>
      </c>
    </row>
    <row r="3" spans="1:19" ht="13.9" customHeight="1">
      <c r="A3" s="57" t="s">
        <v>0</v>
      </c>
      <c r="B3" s="27">
        <f>SUM(B5:B8)</f>
        <v>-845</v>
      </c>
      <c r="C3" s="27">
        <f t="shared" ref="C3:G3" si="0">SUM(C5:C8)</f>
        <v>469</v>
      </c>
      <c r="D3" s="27">
        <f t="shared" si="0"/>
        <v>675</v>
      </c>
      <c r="E3" s="28">
        <f t="shared" si="0"/>
        <v>228</v>
      </c>
      <c r="F3" s="29">
        <f t="shared" si="0"/>
        <v>321</v>
      </c>
      <c r="G3" s="29">
        <f t="shared" si="0"/>
        <v>382</v>
      </c>
      <c r="H3" s="30">
        <f ca="1">I3-SUM(E3:G3)</f>
        <v>424.4546967833262</v>
      </c>
      <c r="I3" s="156">
        <f t="shared" ref="I3:R3" ca="1" si="1">SUM(I5:I8)</f>
        <v>1355.4546967833262</v>
      </c>
      <c r="J3" s="156">
        <f t="shared" ca="1" si="1"/>
        <v>2037.8143764956922</v>
      </c>
      <c r="K3" s="156">
        <f t="shared" ca="1" si="1"/>
        <v>2792.0736883025825</v>
      </c>
      <c r="L3" s="156">
        <f t="shared" ca="1" si="1"/>
        <v>3689.6745970427919</v>
      </c>
      <c r="M3" s="156">
        <f t="shared" ca="1" si="1"/>
        <v>4401.1135941032026</v>
      </c>
      <c r="N3" s="156">
        <f t="shared" ca="1" si="1"/>
        <v>5184.1077547570112</v>
      </c>
      <c r="O3" s="156">
        <f t="shared" ca="1" si="1"/>
        <v>5976.3811923875064</v>
      </c>
      <c r="P3" s="156">
        <f t="shared" ca="1" si="1"/>
        <v>6748.6268595394658</v>
      </c>
      <c r="Q3" s="156">
        <f t="shared" ca="1" si="1"/>
        <v>7528.5204092549993</v>
      </c>
      <c r="R3" s="156">
        <f t="shared" ca="1" si="1"/>
        <v>8333.9978824817517</v>
      </c>
      <c r="S3" s="295"/>
    </row>
    <row r="4" spans="1:19" ht="13.9" customHeight="1">
      <c r="A4" s="57" t="s">
        <v>40</v>
      </c>
      <c r="B4" s="27">
        <f>-(B3+B9)</f>
        <v>1518</v>
      </c>
      <c r="C4" s="27">
        <f>C3-C9</f>
        <v>1045</v>
      </c>
      <c r="D4" s="27">
        <f>D3-D9</f>
        <v>1400</v>
      </c>
      <c r="E4" s="589">
        <f>E3-E9</f>
        <v>504</v>
      </c>
      <c r="F4" s="27">
        <f>F3-F9</f>
        <v>621</v>
      </c>
      <c r="G4" s="27">
        <f>G3-G9</f>
        <v>665</v>
      </c>
      <c r="H4" s="520">
        <f ca="1">I4-SUM(E4:G4)</f>
        <v>1591.2832513163407</v>
      </c>
      <c r="I4" s="156">
        <f ca="1">'Forecast for Expenses'!I4</f>
        <v>3381.2832513163407</v>
      </c>
      <c r="J4" s="156">
        <f ca="1">'Forecast for Expenses'!J4</f>
        <v>4268.0020856347837</v>
      </c>
      <c r="K4" s="156">
        <f ca="1">'Forecast for Expenses'!K4</f>
        <v>5224.9939632893347</v>
      </c>
      <c r="L4" s="156">
        <f ca="1">'Forecast for Expenses'!L4</f>
        <v>6302.1616785357264</v>
      </c>
      <c r="M4" s="156">
        <f ca="1">'Forecast for Expenses'!M4</f>
        <v>7112.0101484289644</v>
      </c>
      <c r="N4" s="156">
        <f ca="1">'Forecast for Expenses'!N4</f>
        <v>7936.1614204808502</v>
      </c>
      <c r="O4" s="156">
        <f ca="1">'Forecast for Expenses'!O4</f>
        <v>8708.0580877484153</v>
      </c>
      <c r="P4" s="156">
        <f ca="1">'Forecast for Expenses'!P4</f>
        <v>9399.4448124867668</v>
      </c>
      <c r="Q4" s="156">
        <f ca="1">'Forecast for Expenses'!Q4</f>
        <v>10059.23822736382</v>
      </c>
      <c r="R4" s="156">
        <f ca="1">'Forecast for Expenses'!R4</f>
        <v>10708.265057964709</v>
      </c>
      <c r="S4" s="295"/>
    </row>
    <row r="5" spans="1:19">
      <c r="A5" s="58" t="s">
        <v>41</v>
      </c>
      <c r="B5" s="131">
        <f>'Incentives Breakdown'!V6</f>
        <v>-638</v>
      </c>
      <c r="C5" s="131">
        <v>5</v>
      </c>
      <c r="D5" s="131">
        <v>148</v>
      </c>
      <c r="E5" s="32">
        <v>91</v>
      </c>
      <c r="F5" s="31">
        <v>134</v>
      </c>
      <c r="G5" s="31">
        <v>171</v>
      </c>
      <c r="H5" s="33">
        <f>I5-SUM(E5:G5)</f>
        <v>166.34247142379127</v>
      </c>
      <c r="I5" s="131">
        <f>Rates!I66</f>
        <v>562.34247142379127</v>
      </c>
      <c r="J5" s="131">
        <f>Rates!J66</f>
        <v>861.9484774439494</v>
      </c>
      <c r="K5" s="131">
        <f>Rates!K66</f>
        <v>1240.7058408929279</v>
      </c>
      <c r="L5" s="131">
        <f>Rates!L66</f>
        <v>1702.1228923629903</v>
      </c>
      <c r="M5" s="131">
        <f>Rates!M66</f>
        <v>2049.233932784527</v>
      </c>
      <c r="N5" s="131">
        <f>Rates!N66</f>
        <v>2392.0741309129035</v>
      </c>
      <c r="O5" s="131">
        <f>Rates!O66</f>
        <v>2738.591721587567</v>
      </c>
      <c r="P5" s="131">
        <f>Rates!P66</f>
        <v>3085.0920768105607</v>
      </c>
      <c r="Q5" s="131">
        <f>Rates!Q66</f>
        <v>3455.5040926676052</v>
      </c>
      <c r="R5" s="131">
        <f>Rates!R66</f>
        <v>3841.4660125032742</v>
      </c>
      <c r="S5" s="295"/>
    </row>
    <row r="6" spans="1:19">
      <c r="A6" s="58" t="s">
        <v>42</v>
      </c>
      <c r="B6" s="131">
        <f>'Incentives Breakdown'!V7</f>
        <v>9</v>
      </c>
      <c r="C6" s="131">
        <v>438</v>
      </c>
      <c r="D6" s="131">
        <v>456</v>
      </c>
      <c r="E6" s="32">
        <v>112</v>
      </c>
      <c r="F6" s="31">
        <v>161</v>
      </c>
      <c r="G6" s="31">
        <v>176</v>
      </c>
      <c r="H6" s="33">
        <f t="shared" ref="H6:H10" si="2">I6-SUM(E6:G6)</f>
        <v>177.15411376635166</v>
      </c>
      <c r="I6" s="131">
        <f>Rates!I67</f>
        <v>626.15411376635166</v>
      </c>
      <c r="J6" s="131">
        <f>Rates!J67</f>
        <v>940.62172155174278</v>
      </c>
      <c r="K6" s="131">
        <f>Rates!K67</f>
        <v>1265.8094595176544</v>
      </c>
      <c r="L6" s="131">
        <f>Rates!L67</f>
        <v>1645.7139983629913</v>
      </c>
      <c r="M6" s="131">
        <f>Rates!M67</f>
        <v>1945.4186016254266</v>
      </c>
      <c r="N6" s="131">
        <f>Rates!N67</f>
        <v>2311.4910318747893</v>
      </c>
      <c r="O6" s="131">
        <f>Rates!O67</f>
        <v>2672.4513351746573</v>
      </c>
      <c r="P6" s="131">
        <f>Rates!P67</f>
        <v>3004.8807667062943</v>
      </c>
      <c r="Q6" s="131">
        <f>Rates!Q67</f>
        <v>3308.4830011168597</v>
      </c>
      <c r="R6" s="131">
        <f>Rates!R67</f>
        <v>3607.9781318464638</v>
      </c>
      <c r="S6" s="295"/>
    </row>
    <row r="7" spans="1:19">
      <c r="A7" s="58" t="s">
        <v>43</v>
      </c>
      <c r="B7" s="131">
        <f>'Incentives Breakdown'!V8</f>
        <v>-229</v>
      </c>
      <c r="C7" s="131">
        <v>-10</v>
      </c>
      <c r="D7" s="131">
        <v>27</v>
      </c>
      <c r="E7" s="32">
        <v>11</v>
      </c>
      <c r="F7" s="31">
        <v>12.5</v>
      </c>
      <c r="G7" s="31">
        <v>20</v>
      </c>
      <c r="H7" s="33">
        <f t="shared" ca="1" si="2"/>
        <v>59.198111593183256</v>
      </c>
      <c r="I7" s="131">
        <f ca="1">Rates!I68</f>
        <v>102.69811159318326</v>
      </c>
      <c r="J7" s="131">
        <f ca="1">Rates!J68</f>
        <v>136.36417750000004</v>
      </c>
      <c r="K7" s="131">
        <f ca="1">Rates!K68</f>
        <v>166.47338789200006</v>
      </c>
      <c r="L7" s="131">
        <f ca="1">Rates!L68</f>
        <v>200.89770631681012</v>
      </c>
      <c r="M7" s="131">
        <f ca="1">Rates!M68</f>
        <v>240.16996761616076</v>
      </c>
      <c r="N7" s="131">
        <f ca="1">Rates!N68</f>
        <v>284.88396452822838</v>
      </c>
      <c r="O7" s="131">
        <f ca="1">Rates!O68</f>
        <v>335.70110414677731</v>
      </c>
      <c r="P7" s="131">
        <f ca="1">Rates!P68</f>
        <v>389.74898191440843</v>
      </c>
      <c r="Q7" s="131">
        <f ca="1">Rates!Q68</f>
        <v>450.29603305832126</v>
      </c>
      <c r="R7" s="131">
        <f ca="1">Rates!R68</f>
        <v>518.03621890100794</v>
      </c>
      <c r="S7" s="295"/>
    </row>
    <row r="8" spans="1:19">
      <c r="A8" s="58" t="s">
        <v>44</v>
      </c>
      <c r="B8" s="131">
        <f>'Incentives Breakdown'!V9</f>
        <v>13</v>
      </c>
      <c r="C8" s="131">
        <v>36</v>
      </c>
      <c r="D8" s="131">
        <v>44</v>
      </c>
      <c r="E8" s="32">
        <v>14</v>
      </c>
      <c r="F8" s="31">
        <v>13.5</v>
      </c>
      <c r="G8" s="31">
        <v>15</v>
      </c>
      <c r="H8" s="33">
        <f ca="1">I8-SUM(E8:G8)</f>
        <v>21.760000000000034</v>
      </c>
      <c r="I8" s="131">
        <f ca="1">Rates!I69</f>
        <v>64.260000000000034</v>
      </c>
      <c r="J8" s="131">
        <f ca="1">Rates!J69</f>
        <v>98.879999999999981</v>
      </c>
      <c r="K8" s="131">
        <f ca="1">Rates!K69</f>
        <v>119.08499999999999</v>
      </c>
      <c r="L8" s="131">
        <f ca="1">Rates!L69</f>
        <v>140.94</v>
      </c>
      <c r="M8" s="131">
        <f ca="1">Rates!M69</f>
        <v>166.2910920770878</v>
      </c>
      <c r="N8" s="131">
        <f ca="1">Rates!N69</f>
        <v>195.65862744109054</v>
      </c>
      <c r="O8" s="131">
        <f ca="1">Rates!O69</f>
        <v>229.63703147850475</v>
      </c>
      <c r="P8" s="131">
        <f ca="1">Rates!P69</f>
        <v>268.90503410820321</v>
      </c>
      <c r="Q8" s="131">
        <f ca="1">Rates!Q69</f>
        <v>314.2372824122142</v>
      </c>
      <c r="R8" s="131">
        <f ca="1">Rates!R69</f>
        <v>366.51751923100448</v>
      </c>
      <c r="S8" s="295"/>
    </row>
    <row r="9" spans="1:19">
      <c r="A9" s="59" t="s">
        <v>45</v>
      </c>
      <c r="B9" s="454">
        <f>-1320-B22-B23</f>
        <v>-673</v>
      </c>
      <c r="C9" s="454">
        <f>-963-C22-C23</f>
        <v>-576</v>
      </c>
      <c r="D9" s="454">
        <f>-1070-D22-D23</f>
        <v>-725</v>
      </c>
      <c r="E9" s="455">
        <f>-310-E22-E23</f>
        <v>-276</v>
      </c>
      <c r="F9" s="454">
        <f>-337-F22-F23</f>
        <v>-300</v>
      </c>
      <c r="G9" s="454">
        <f>-321-G22-G23</f>
        <v>-283</v>
      </c>
      <c r="H9" s="35">
        <f ca="1">I9-SUM(E9:G9)</f>
        <v>-146.98573884364555</v>
      </c>
      <c r="I9" s="157">
        <f ca="1">'Forecast for Expenses'!I6</f>
        <v>-1005.9857388436455</v>
      </c>
      <c r="J9" s="157">
        <f ca="1">'Forecast for Expenses'!J6</f>
        <v>-1317.641485317653</v>
      </c>
      <c r="K9" s="157">
        <f ca="1">'Forecast for Expenses'!K6</f>
        <v>-1602.7900802248778</v>
      </c>
      <c r="L9" s="157">
        <f ca="1">'Forecast for Expenses'!L6</f>
        <v>-1911.2731700815646</v>
      </c>
      <c r="M9" s="157">
        <f ca="1">'Forecast for Expenses'!M6</f>
        <v>-2108.1725659051826</v>
      </c>
      <c r="N9" s="157">
        <f ca="1">'Forecast for Expenses'!N6</f>
        <v>-2284.5631882190778</v>
      </c>
      <c r="O9" s="157">
        <f ca="1">'Forecast for Expenses'!O6</f>
        <v>-2415.1686316562959</v>
      </c>
      <c r="P9" s="157">
        <f ca="1">'Forecast for Expenses'!P6</f>
        <v>-2491.9827730646125</v>
      </c>
      <c r="Q9" s="157">
        <f ca="1">'Forecast for Expenses'!Q6</f>
        <v>-2529.8509457565697</v>
      </c>
      <c r="R9" s="157">
        <f ca="1">'Forecast for Expenses'!R6</f>
        <v>-2533.6286438620477</v>
      </c>
      <c r="S9" s="295"/>
    </row>
    <row r="10" spans="1:19">
      <c r="A10" s="57" t="s">
        <v>46</v>
      </c>
      <c r="B10" s="36">
        <f t="shared" ref="B10:G10" si="3">B3+B9</f>
        <v>-1518</v>
      </c>
      <c r="C10" s="36">
        <f t="shared" si="3"/>
        <v>-107</v>
      </c>
      <c r="D10" s="36">
        <f t="shared" si="3"/>
        <v>-50</v>
      </c>
      <c r="E10" s="36">
        <f t="shared" si="3"/>
        <v>-48</v>
      </c>
      <c r="F10" s="36">
        <f t="shared" si="3"/>
        <v>21</v>
      </c>
      <c r="G10" s="36">
        <f t="shared" si="3"/>
        <v>99</v>
      </c>
      <c r="H10" s="38">
        <f t="shared" ca="1" si="2"/>
        <v>277.46895793968065</v>
      </c>
      <c r="I10" s="158">
        <f t="shared" ref="I10:R10" ca="1" si="4">I3+I9</f>
        <v>349.46895793968065</v>
      </c>
      <c r="J10" s="158">
        <f t="shared" ca="1" si="4"/>
        <v>720.17289117803921</v>
      </c>
      <c r="K10" s="158">
        <f t="shared" ca="1" si="4"/>
        <v>1189.2836080777047</v>
      </c>
      <c r="L10" s="158">
        <f t="shared" ca="1" si="4"/>
        <v>1778.4014269612273</v>
      </c>
      <c r="M10" s="158">
        <f t="shared" ca="1" si="4"/>
        <v>2292.9410281980199</v>
      </c>
      <c r="N10" s="158">
        <f t="shared" ca="1" si="4"/>
        <v>2899.5445665379334</v>
      </c>
      <c r="O10" s="158">
        <f t="shared" ca="1" si="4"/>
        <v>3561.2125607312105</v>
      </c>
      <c r="P10" s="158">
        <f t="shared" ca="1" si="4"/>
        <v>4256.6440864748529</v>
      </c>
      <c r="Q10" s="158">
        <f t="shared" ca="1" si="4"/>
        <v>4998.6694634984296</v>
      </c>
      <c r="R10" s="158">
        <f t="shared" ca="1" si="4"/>
        <v>5800.3692386197035</v>
      </c>
      <c r="S10" s="295"/>
    </row>
    <row r="11" spans="1:19">
      <c r="B11" s="31"/>
      <c r="C11" s="31"/>
      <c r="D11" s="31"/>
      <c r="E11" s="32"/>
      <c r="F11" s="31"/>
      <c r="G11" s="31"/>
      <c r="H11" s="39"/>
      <c r="I11" s="31"/>
      <c r="J11" s="31"/>
      <c r="K11" s="31"/>
      <c r="L11" s="31"/>
      <c r="M11" s="31"/>
      <c r="N11" s="31"/>
      <c r="O11" s="31"/>
      <c r="P11" s="31"/>
      <c r="Q11" s="31"/>
      <c r="R11" s="31"/>
      <c r="S11" s="295"/>
    </row>
    <row r="12" spans="1:19">
      <c r="A12" s="57" t="s">
        <v>47</v>
      </c>
      <c r="B12" s="31"/>
      <c r="C12" s="31"/>
      <c r="D12" s="31"/>
      <c r="E12" s="32"/>
      <c r="F12" s="31"/>
      <c r="G12" s="31"/>
      <c r="H12" s="39"/>
      <c r="I12" s="31"/>
      <c r="J12" s="31"/>
      <c r="K12" s="31"/>
      <c r="L12" s="31"/>
      <c r="M12" s="31"/>
      <c r="N12" s="31"/>
      <c r="O12" s="31"/>
      <c r="P12" s="31"/>
      <c r="Q12" s="31"/>
      <c r="R12" s="31"/>
      <c r="S12" s="295"/>
    </row>
    <row r="13" spans="1:19" outlineLevel="1">
      <c r="A13" s="58" t="s">
        <v>48</v>
      </c>
      <c r="B13" s="131">
        <v>14</v>
      </c>
      <c r="C13" s="131">
        <v>33</v>
      </c>
      <c r="D13" s="131">
        <v>12</v>
      </c>
      <c r="E13" s="132">
        <v>3</v>
      </c>
      <c r="F13" s="31">
        <v>3</v>
      </c>
      <c r="G13" s="31">
        <v>3</v>
      </c>
      <c r="H13" s="33">
        <f t="shared" ref="H13:H31" si="5">I13-SUM(E13:G13)</f>
        <v>3</v>
      </c>
      <c r="I13" s="131">
        <v>12</v>
      </c>
      <c r="J13" s="131">
        <v>12</v>
      </c>
      <c r="K13" s="131">
        <v>12</v>
      </c>
      <c r="L13" s="131">
        <v>12</v>
      </c>
      <c r="M13" s="131">
        <v>12</v>
      </c>
      <c r="N13" s="131">
        <v>12</v>
      </c>
      <c r="O13" s="131">
        <v>12</v>
      </c>
      <c r="P13" s="131">
        <v>12</v>
      </c>
      <c r="Q13" s="131">
        <v>12</v>
      </c>
      <c r="R13" s="131">
        <v>12</v>
      </c>
      <c r="S13" s="295"/>
    </row>
    <row r="14" spans="1:19" outlineLevel="1">
      <c r="A14" s="58" t="s">
        <v>49</v>
      </c>
      <c r="B14" s="131">
        <v>-238</v>
      </c>
      <c r="C14" s="131">
        <v>-151</v>
      </c>
      <c r="D14" s="131">
        <v>-241</v>
      </c>
      <c r="E14" s="132">
        <v>-70</v>
      </c>
      <c r="F14" s="31">
        <v>-72</v>
      </c>
      <c r="G14" s="31">
        <v>-66</v>
      </c>
      <c r="H14" s="33">
        <f t="shared" ca="1" si="5"/>
        <v>-74.972405685451747</v>
      </c>
      <c r="I14" s="131" cm="1">
        <f t="array" aca="1" ref="I14" ca="1">-INDEX(MarketingRev,I$1)*I4</f>
        <v>-282.97240568545175</v>
      </c>
      <c r="J14" s="131" cm="1">
        <f t="array" aca="1" ref="J14" ca="1">-INDEX(MarketingRev,J$1)*J4</f>
        <v>-339.7754576243874</v>
      </c>
      <c r="K14" s="131" cm="1">
        <f t="array" aca="1" ref="K14" ca="1">-INDEX(MarketingRev,K$1)*K4</f>
        <v>-395.69268847421262</v>
      </c>
      <c r="L14" s="131" cm="1">
        <f t="array" aca="1" ref="L14" ca="1">-INDEX(MarketingRev,L$1)*L4</f>
        <v>-454.01125845464708</v>
      </c>
      <c r="M14" s="131" cm="1">
        <f t="array" aca="1" ref="M14" ca="1">-INDEX(MarketingRev,M$1)*M4</f>
        <v>-487.38740166783185</v>
      </c>
      <c r="N14" s="131" cm="1">
        <f t="array" aca="1" ref="N14" ca="1">-INDEX(MarketingRev,N$1)*N4</f>
        <v>-517.36527207174561</v>
      </c>
      <c r="O14" s="131" cm="1">
        <f t="array" aca="1" ref="O14" ca="1">-INDEX(MarketingRev,O$1)*O4</f>
        <v>-540.0238585209197</v>
      </c>
      <c r="P14" s="131" cm="1">
        <f t="array" aca="1" ref="P14" ca="1">-INDEX(MarketingRev,P$1)*P4</f>
        <v>-554.49633753720741</v>
      </c>
      <c r="Q14" s="131" cm="1">
        <f t="array" aca="1" ref="Q14" ca="1">-INDEX(MarketingRev,Q$1)*Q4</f>
        <v>-564.50321864181512</v>
      </c>
      <c r="R14" s="131" cm="1">
        <f t="array" aca="1" ref="R14" ca="1">-INDEX(MarketingRev,R$1)*R4</f>
        <v>-571.64352825968149</v>
      </c>
      <c r="S14" s="295"/>
    </row>
    <row r="15" spans="1:19" outlineLevel="1">
      <c r="A15" s="58" t="s">
        <v>50</v>
      </c>
      <c r="B15" s="131">
        <v>-304</v>
      </c>
      <c r="C15" s="131">
        <v>-326</v>
      </c>
      <c r="D15" s="131">
        <v>-545</v>
      </c>
      <c r="E15" s="132">
        <v>-169</v>
      </c>
      <c r="F15" s="31">
        <v>-162</v>
      </c>
      <c r="G15" s="31">
        <v>-150</v>
      </c>
      <c r="H15" s="33">
        <f t="shared" ca="1" si="5"/>
        <v>-174.10707051740633</v>
      </c>
      <c r="I15" s="131" cm="1">
        <f t="array" aca="1" ref="I15" ca="1">-INDEX(GenAdmRev,I$1)*I$4</f>
        <v>-655.10707051740633</v>
      </c>
      <c r="J15" s="131" cm="1">
        <f t="array" aca="1" ref="J15" ca="1">-INDEX(GenAdmRev,J$1)*J$4</f>
        <v>-798.69771379496274</v>
      </c>
      <c r="K15" s="131" cm="1">
        <f t="array" aca="1" ref="K15" ca="1">-INDEX(GenAdmRev,K$1)*K$4</f>
        <v>-944.43200529133173</v>
      </c>
      <c r="L15" s="131" cm="1">
        <f t="array" aca="1" ref="L15" ca="1">-INDEX(GenAdmRev,L$1)*L$4</f>
        <v>-1100.2757179873383</v>
      </c>
      <c r="M15" s="131" cm="1">
        <f t="array" aca="1" ref="M15" ca="1">-INDEX(GenAdmRev,M$1)*M$4</f>
        <v>-1199.3099604373208</v>
      </c>
      <c r="N15" s="131" cm="1">
        <f t="array" aca="1" ref="N15" ca="1">-INDEX(GenAdmRev,N$1)*N$4</f>
        <v>-1292.63720126722</v>
      </c>
      <c r="O15" s="131" cm="1">
        <f t="array" aca="1" ref="O15" ca="1">-INDEX(GenAdmRev,O$1)*O$4</f>
        <v>-1369.981050253625</v>
      </c>
      <c r="P15" s="131" cm="1">
        <f t="array" aca="1" ref="P15" ca="1">-INDEX(GenAdmRev,P$1)*P$4</f>
        <v>-1428.3101742057424</v>
      </c>
      <c r="Q15" s="131" cm="1">
        <f t="array" aca="1" ref="Q15" ca="1">-INDEX(GenAdmRev,Q$1)*Q$4</f>
        <v>-1476.4287917302995</v>
      </c>
      <c r="R15" s="131" cm="1">
        <f t="array" aca="1" ref="R15" ca="1">-INDEX(GenAdmRev,R$1)*R$4</f>
        <v>-1518.0763335481276</v>
      </c>
      <c r="S15" s="295"/>
    </row>
    <row r="16" spans="1:19" outlineLevel="1">
      <c r="A16" s="58" t="s">
        <v>51</v>
      </c>
      <c r="B16" s="131">
        <v>-231</v>
      </c>
      <c r="C16" s="131">
        <v>-257</v>
      </c>
      <c r="D16" s="131">
        <v>-356</v>
      </c>
      <c r="E16" s="132">
        <v>-119</v>
      </c>
      <c r="F16" s="31">
        <v>-121</v>
      </c>
      <c r="G16" s="31">
        <v>-116</v>
      </c>
      <c r="H16" s="33">
        <f t="shared" ca="1" si="5"/>
        <v>-128.17529522530714</v>
      </c>
      <c r="I16" s="131" cm="1">
        <f t="array" aca="1" ref="I16" ca="1">-INDEX(ResearchRev,I$1)*I$4</f>
        <v>-484.17529522530714</v>
      </c>
      <c r="J16" s="131" cm="1">
        <f t="array" aca="1" ref="J16" ca="1">-INDEX(ResearchRev,J$1)*J$4</f>
        <v>-586.17339657620937</v>
      </c>
      <c r="K16" s="131" cm="1">
        <f t="array" aca="1" ref="K16" ca="1">-INDEX(ResearchRev,K$1)*K$4</f>
        <v>-688.2840136719451</v>
      </c>
      <c r="L16" s="131" cm="1">
        <f t="array" aca="1" ref="L16" ca="1">-INDEX(ResearchRev,L$1)*L$4</f>
        <v>-796.254387813687</v>
      </c>
      <c r="M16" s="131" cm="1">
        <f t="array" aca="1" ref="M16" ca="1">-INDEX(ResearchRev,M$1)*M$4</f>
        <v>-861.85672368822361</v>
      </c>
      <c r="N16" s="131" cm="1">
        <f t="array" aca="1" ref="N16" ca="1">-INDEX(ResearchRev,N$1)*N$4</f>
        <v>-922.43040050341676</v>
      </c>
      <c r="O16" s="131" cm="1">
        <f t="array" aca="1" ref="O16" ca="1">-INDEX(ResearchRev,O$1)*O$4</f>
        <v>-970.78898637993416</v>
      </c>
      <c r="P16" s="131" cm="1">
        <f t="array" aca="1" ref="P16" ca="1">-INDEX(ResearchRev,P$1)*P$4</f>
        <v>-1005.0464501556232</v>
      </c>
      <c r="Q16" s="131" cm="1">
        <f t="array" aca="1" ref="Q16" ca="1">-INDEX(ResearchRev,Q$1)*Q$4</f>
        <v>-1031.6429947376153</v>
      </c>
      <c r="R16" s="131" cm="1">
        <f t="array" aca="1" ref="R16" ca="1">-INDEX(ResearchRev,R$1)*R$4</f>
        <v>-1053.3285630216806</v>
      </c>
      <c r="S16" s="295"/>
    </row>
    <row r="17" spans="1:19" outlineLevel="1">
      <c r="A17" s="58" t="s">
        <v>52</v>
      </c>
      <c r="B17" s="131">
        <v>-56</v>
      </c>
      <c r="C17" s="131">
        <v>-63</v>
      </c>
      <c r="D17" s="131">
        <v>-19</v>
      </c>
      <c r="E17" s="132">
        <v>-8</v>
      </c>
      <c r="F17" s="31">
        <v>-15</v>
      </c>
      <c r="G17" s="31">
        <v>-17</v>
      </c>
      <c r="H17" s="33">
        <f t="shared" si="5"/>
        <v>-20</v>
      </c>
      <c r="I17" s="131">
        <v>-60</v>
      </c>
      <c r="J17" s="131">
        <v>-60</v>
      </c>
      <c r="K17" s="131">
        <v>-60</v>
      </c>
      <c r="L17" s="131">
        <v>-60</v>
      </c>
      <c r="M17" s="131">
        <v>-60</v>
      </c>
      <c r="N17" s="131">
        <v>-60</v>
      </c>
      <c r="O17" s="131">
        <v>-60</v>
      </c>
      <c r="P17" s="131">
        <v>-60</v>
      </c>
      <c r="Q17" s="131">
        <v>-60</v>
      </c>
      <c r="R17" s="131">
        <v>-60</v>
      </c>
      <c r="S17" s="295"/>
    </row>
    <row r="18" spans="1:19" outlineLevel="1">
      <c r="A18" s="58" t="s">
        <v>53</v>
      </c>
      <c r="B18" s="131">
        <v>0</v>
      </c>
      <c r="C18" s="131">
        <v>0</v>
      </c>
      <c r="D18" s="131">
        <v>-353</v>
      </c>
      <c r="E18" s="132"/>
      <c r="F18" s="31"/>
      <c r="G18" s="31"/>
      <c r="H18" s="33">
        <f t="shared" si="5"/>
        <v>0</v>
      </c>
      <c r="I18" s="131">
        <v>0</v>
      </c>
      <c r="J18" s="131">
        <v>0</v>
      </c>
      <c r="K18" s="131">
        <v>0</v>
      </c>
      <c r="L18" s="131">
        <v>0</v>
      </c>
      <c r="M18" s="131">
        <v>0</v>
      </c>
      <c r="N18" s="131">
        <v>0</v>
      </c>
      <c r="O18" s="131">
        <v>0</v>
      </c>
      <c r="P18" s="131">
        <v>0</v>
      </c>
      <c r="Q18" s="131">
        <v>0</v>
      </c>
      <c r="R18" s="131">
        <v>0</v>
      </c>
      <c r="S18" s="295"/>
    </row>
    <row r="19" spans="1:19" outlineLevel="1">
      <c r="A19" s="59" t="s">
        <v>54</v>
      </c>
      <c r="B19" s="157">
        <v>0</v>
      </c>
      <c r="C19" s="157">
        <v>-8</v>
      </c>
      <c r="D19" s="157">
        <v>-8</v>
      </c>
      <c r="E19" s="198">
        <v>-1</v>
      </c>
      <c r="F19" s="34">
        <v>-1</v>
      </c>
      <c r="G19" s="34">
        <v>-4</v>
      </c>
      <c r="H19" s="35">
        <f t="shared" si="5"/>
        <v>-4</v>
      </c>
      <c r="I19" s="157">
        <v>-10</v>
      </c>
      <c r="J19" s="157">
        <v>-10</v>
      </c>
      <c r="K19" s="157">
        <v>-10</v>
      </c>
      <c r="L19" s="157">
        <v>-10</v>
      </c>
      <c r="M19" s="157">
        <v>-10</v>
      </c>
      <c r="N19" s="157">
        <v>-10</v>
      </c>
      <c r="O19" s="157">
        <v>-10</v>
      </c>
      <c r="P19" s="157">
        <v>-10</v>
      </c>
      <c r="Q19" s="157">
        <v>-10</v>
      </c>
      <c r="R19" s="157">
        <v>-10</v>
      </c>
      <c r="S19" s="295"/>
    </row>
    <row r="20" spans="1:19" outlineLevel="1">
      <c r="A20" s="57" t="s">
        <v>55</v>
      </c>
      <c r="B20" s="36">
        <f t="shared" ref="B20:R20" si="6">SUM(B10:B19)</f>
        <v>-2333</v>
      </c>
      <c r="C20" s="36">
        <f t="shared" si="6"/>
        <v>-879</v>
      </c>
      <c r="D20" s="36">
        <f t="shared" si="6"/>
        <v>-1560</v>
      </c>
      <c r="E20" s="37">
        <f t="shared" si="6"/>
        <v>-412</v>
      </c>
      <c r="F20" s="36">
        <f t="shared" si="6"/>
        <v>-347</v>
      </c>
      <c r="G20" s="36">
        <f t="shared" si="6"/>
        <v>-251</v>
      </c>
      <c r="H20" s="38">
        <f t="shared" ca="1" si="6"/>
        <v>-120.78581348848456</v>
      </c>
      <c r="I20" s="36">
        <f t="shared" ca="1" si="6"/>
        <v>-1130.7858134884846</v>
      </c>
      <c r="J20" s="36">
        <f t="shared" ca="1" si="6"/>
        <v>-1062.4736768175203</v>
      </c>
      <c r="K20" s="36">
        <f t="shared" ca="1" si="6"/>
        <v>-897.12509935978483</v>
      </c>
      <c r="L20" s="36">
        <f t="shared" ca="1" si="6"/>
        <v>-630.13993729444508</v>
      </c>
      <c r="M20" s="36">
        <f t="shared" ca="1" si="6"/>
        <v>-313.61305759535639</v>
      </c>
      <c r="N20" s="36">
        <f t="shared" ca="1" si="6"/>
        <v>109.11169269555114</v>
      </c>
      <c r="O20" s="36">
        <f t="shared" ca="1" si="6"/>
        <v>622.41866557673188</v>
      </c>
      <c r="P20" s="36">
        <f t="shared" ca="1" si="6"/>
        <v>1210.79112457628</v>
      </c>
      <c r="Q20" s="36">
        <f t="shared" ca="1" si="6"/>
        <v>1868.0944583887001</v>
      </c>
      <c r="R20" s="36">
        <f t="shared" ca="1" si="6"/>
        <v>2599.3208137902138</v>
      </c>
    </row>
    <row r="21" spans="1:19" outlineLevel="1">
      <c r="B21" s="31"/>
      <c r="C21" s="31"/>
      <c r="D21" s="31"/>
      <c r="E21" s="32"/>
      <c r="F21" s="31"/>
      <c r="G21" s="31"/>
      <c r="H21" s="33"/>
      <c r="I21" s="31"/>
      <c r="J21" s="31"/>
      <c r="K21" s="31"/>
      <c r="L21" s="31"/>
      <c r="M21" s="31"/>
      <c r="N21" s="31"/>
      <c r="O21" s="31"/>
      <c r="P21" s="31"/>
      <c r="Q21" s="31"/>
      <c r="R21" s="31"/>
    </row>
    <row r="22" spans="1:19" outlineLevel="1">
      <c r="A22" s="58" t="s">
        <v>56</v>
      </c>
      <c r="B22" s="131">
        <v>-109</v>
      </c>
      <c r="C22" s="131">
        <v>-126</v>
      </c>
      <c r="D22" s="131">
        <v>-109</v>
      </c>
      <c r="E22" s="132">
        <v>-30</v>
      </c>
      <c r="F22" s="31">
        <v>-32</v>
      </c>
      <c r="G22" s="31">
        <v>-34</v>
      </c>
      <c r="H22" s="33">
        <f ca="1">I22-SUM(E22:G22)</f>
        <v>-35.123145317149067</v>
      </c>
      <c r="I22" s="131" cm="1">
        <f t="array" aca="1" ref="I22" ca="1">-INDEX(DeprRate,I$1)*(D79+I79)/2</f>
        <v>-131.12314531714907</v>
      </c>
      <c r="J22" s="131" cm="1">
        <f t="array" aca="1" ref="J22" ca="1">-INDEX(DeprRate,J$1)*(I79+J79)/2</f>
        <v>-117.69990838354279</v>
      </c>
      <c r="K22" s="131" cm="1">
        <f t="array" aca="1" ref="K22" ca="1">-INDEX(DeprRate,K$1)*(J79+K79)/2</f>
        <v>-146.8850709966421</v>
      </c>
      <c r="L22" s="131" cm="1">
        <f t="array" aca="1" ref="L22" ca="1">-INDEX(DeprRate,L$1)*(K79+L79)/2</f>
        <v>-179.06178073309192</v>
      </c>
      <c r="M22" s="131" cm="1">
        <f t="array" aca="1" ref="M22" ca="1">-INDEX(DeprRate,M$1)*(L79+M79)/2</f>
        <v>-214.65081226134905</v>
      </c>
      <c r="N22" s="131" cm="1">
        <f t="array" aca="1" ref="N22" ca="1">-INDEX(DeprRate,N$1)*(M79+N79)/2</f>
        <v>-254.41251764706237</v>
      </c>
      <c r="O22" s="131" cm="1">
        <f t="array" aca="1" ref="O22" ca="1">-INDEX(DeprRate,O$1)*(N79+O79)/2</f>
        <v>-299.32387213077573</v>
      </c>
      <c r="P22" s="131" cm="1">
        <f t="array" aca="1" ref="P22" ca="1">-INDEX(DeprRate,P$1)*(O79+P79)/2</f>
        <v>-347.74871220638721</v>
      </c>
      <c r="Q22" s="131" cm="1">
        <f t="array" aca="1" ref="Q22" ca="1">-INDEX(DeprRate,Q$1)*(P79+Q79)/2</f>
        <v>-399.80597679393588</v>
      </c>
      <c r="R22" s="131" cm="1">
        <f t="array" aca="1" ref="R22" ca="1">-INDEX(DeprRate,R$1)*(Q79+R79)/2</f>
        <v>-456.56309325493379</v>
      </c>
    </row>
    <row r="23" spans="1:19" outlineLevel="1">
      <c r="A23" s="58" t="s">
        <v>57</v>
      </c>
      <c r="B23" s="131">
        <v>-538</v>
      </c>
      <c r="C23" s="131">
        <v>-261</v>
      </c>
      <c r="D23" s="131">
        <v>-236</v>
      </c>
      <c r="E23" s="132">
        <v>-4</v>
      </c>
      <c r="F23" s="31">
        <v>-5</v>
      </c>
      <c r="G23" s="31">
        <v>-4</v>
      </c>
      <c r="H23" s="33">
        <f t="shared" ca="1" si="5"/>
        <v>-7.2485705680122052</v>
      </c>
      <c r="I23" s="131" cm="1">
        <f t="array" aca="1" ref="I23" ca="1">-INDEX(AmortRate,I$1)*(D82+I82)/2</f>
        <v>-20.248570568012205</v>
      </c>
      <c r="J23" s="131" cm="1">
        <f t="array" aca="1" ref="J23" ca="1">-INDEX(AmortRate,J$1)*(I82+J82)/2</f>
        <v>-25.52528426330575</v>
      </c>
      <c r="K23" s="131" cm="1">
        <f t="array" aca="1" ref="K23" ca="1">-INDEX(AmortRate,K$1)*(J82+K82)/2</f>
        <v>-29.811906957318886</v>
      </c>
      <c r="L23" s="131" cm="1">
        <f t="array" aca="1" ref="L23" ca="1">-INDEX(AmortRate,L$1)*(K82+L82)/2</f>
        <v>-34.541952786677221</v>
      </c>
      <c r="M23" s="131" cm="1">
        <f t="array" aca="1" ref="M23" ca="1">-INDEX(AmortRate,M$1)*(L82+M82)/2</f>
        <v>-39.138226489560182</v>
      </c>
      <c r="N23" s="131" cm="1">
        <f t="array" aca="1" ref="N23" ca="1">-INDEX(AmortRate,N$1)*(M82+N82)/2</f>
        <v>-43.980449830018124</v>
      </c>
      <c r="O23" s="131" cm="1">
        <f t="array" aca="1" ref="O23" ca="1">-INDEX(AmortRate,O$1)*(N82+O82)/2</f>
        <v>-48.835731859249854</v>
      </c>
      <c r="P23" s="131" cm="1">
        <f t="array" aca="1" ref="P23" ca="1">-INDEX(AmortRate,P$1)*(O82+P82)/2</f>
        <v>-53.512732713551109</v>
      </c>
      <c r="Q23" s="131" cm="1">
        <f t="array" aca="1" ref="Q23" ca="1">-INDEX(AmortRate,Q$1)*(P82+Q82)/2</f>
        <v>-58.30664865816771</v>
      </c>
      <c r="R23" s="131" cm="1">
        <f t="array" aca="1" ref="R23" ca="1">-INDEX(AmortRate,R$1)*(Q82+R82)/2</f>
        <v>-63.326727564323654</v>
      </c>
    </row>
    <row r="24" spans="1:19" outlineLevel="1">
      <c r="A24" s="59" t="s">
        <v>58</v>
      </c>
      <c r="B24" s="157">
        <v>-30</v>
      </c>
      <c r="C24" s="157">
        <v>-40</v>
      </c>
      <c r="D24" s="157">
        <v>-11</v>
      </c>
      <c r="E24" s="198">
        <v>0</v>
      </c>
      <c r="F24" s="34">
        <v>-1</v>
      </c>
      <c r="G24" s="34">
        <v>-5</v>
      </c>
      <c r="H24" s="35">
        <f t="shared" si="5"/>
        <v>-5</v>
      </c>
      <c r="I24" s="157">
        <v>-11</v>
      </c>
      <c r="J24" s="157">
        <v>-11</v>
      </c>
      <c r="K24" s="157">
        <v>-11</v>
      </c>
      <c r="L24" s="157">
        <v>-11</v>
      </c>
      <c r="M24" s="157">
        <v>-11</v>
      </c>
      <c r="N24" s="157">
        <v>-11</v>
      </c>
      <c r="O24" s="157">
        <v>-11</v>
      </c>
      <c r="P24" s="157">
        <v>-11</v>
      </c>
      <c r="Q24" s="157">
        <v>-11</v>
      </c>
      <c r="R24" s="157">
        <v>-11</v>
      </c>
    </row>
    <row r="25" spans="1:19" outlineLevel="1">
      <c r="A25" s="57" t="s">
        <v>59</v>
      </c>
      <c r="B25" s="36">
        <f>SUM(B20:B24)</f>
        <v>-3010</v>
      </c>
      <c r="C25" s="36">
        <f t="shared" ref="C25:G25" si="7">SUM(C20:C24)</f>
        <v>-1306</v>
      </c>
      <c r="D25" s="36">
        <f t="shared" si="7"/>
        <v>-1916</v>
      </c>
      <c r="E25" s="37">
        <f t="shared" si="7"/>
        <v>-446</v>
      </c>
      <c r="F25" s="36">
        <f t="shared" si="7"/>
        <v>-385</v>
      </c>
      <c r="G25" s="36">
        <f t="shared" si="7"/>
        <v>-294</v>
      </c>
      <c r="H25" s="38">
        <f ca="1">SUM(H20:H24)</f>
        <v>-168.15752937364584</v>
      </c>
      <c r="I25" s="36">
        <f t="shared" ref="I25" ca="1" si="8">SUM(I20:I24)</f>
        <v>-1293.1575293736457</v>
      </c>
      <c r="J25" s="36">
        <f t="shared" ref="J25" ca="1" si="9">SUM(J20:J24)</f>
        <v>-1216.698869464369</v>
      </c>
      <c r="K25" s="36">
        <f t="shared" ref="K25" ca="1" si="10">SUM(K20:K24)</f>
        <v>-1084.8220773137457</v>
      </c>
      <c r="L25" s="36">
        <f t="shared" ref="L25" ca="1" si="11">SUM(L20:L24)</f>
        <v>-854.74367081421428</v>
      </c>
      <c r="M25" s="36">
        <f t="shared" ref="M25" ca="1" si="12">SUM(M20:M24)</f>
        <v>-578.40209634626569</v>
      </c>
      <c r="N25" s="36">
        <f t="shared" ref="N25" ca="1" si="13">SUM(N20:N24)</f>
        <v>-200.28127478152936</v>
      </c>
      <c r="O25" s="36">
        <f t="shared" ref="O25" ca="1" si="14">SUM(O20:O24)</f>
        <v>263.25906158670631</v>
      </c>
      <c r="P25" s="36">
        <f t="shared" ref="P25" ca="1" si="15">SUM(P20:P24)</f>
        <v>798.52967965634173</v>
      </c>
      <c r="Q25" s="36">
        <f t="shared" ref="Q25" ca="1" si="16">SUM(Q20:Q24)</f>
        <v>1398.9818329365964</v>
      </c>
      <c r="R25" s="36">
        <f t="shared" ref="R25" ca="1" si="17">SUM(R20:R24)</f>
        <v>2068.4309929709561</v>
      </c>
    </row>
    <row r="26" spans="1:19" outlineLevel="1">
      <c r="B26" s="31"/>
      <c r="C26" s="31"/>
      <c r="D26" s="31"/>
      <c r="E26" s="32"/>
      <c r="F26" s="31"/>
      <c r="G26" s="31"/>
      <c r="H26" s="33"/>
      <c r="I26" s="31"/>
      <c r="J26" s="31"/>
      <c r="K26" s="31"/>
      <c r="L26" s="31"/>
      <c r="M26" s="31"/>
      <c r="N26" s="31"/>
      <c r="O26" s="31"/>
      <c r="P26" s="31"/>
      <c r="Q26" s="31"/>
      <c r="R26" s="31"/>
    </row>
    <row r="27" spans="1:19" outlineLevel="1">
      <c r="A27" s="58" t="s">
        <v>60</v>
      </c>
      <c r="B27" s="131">
        <v>85</v>
      </c>
      <c r="C27" s="131">
        <v>53</v>
      </c>
      <c r="D27" s="131">
        <v>65</v>
      </c>
      <c r="E27" s="132">
        <v>49</v>
      </c>
      <c r="F27" s="31">
        <v>-16</v>
      </c>
      <c r="G27" s="31">
        <v>38</v>
      </c>
      <c r="H27" s="33">
        <f t="shared" ca="1" si="5"/>
        <v>4.3985578322861727</v>
      </c>
      <c r="I27" s="131" cm="1">
        <f t="array" aca="1" ref="I27" ca="1">INDEX(IntRateCash,I$1)*(D38+I38)/2</f>
        <v>75.398557832286173</v>
      </c>
      <c r="J27" s="131" cm="1">
        <f t="array" aca="1" ref="J27" ca="1">INDEX(IntRateCash,J$1)*(I38+J38)/2</f>
        <v>72.57581025368502</v>
      </c>
      <c r="K27" s="131" cm="1">
        <f t="array" aca="1" ref="K27" ca="1">INDEX(IntRateCash,K$1)*(J38+K38)/2</f>
        <v>66.240260561220225</v>
      </c>
      <c r="L27" s="131" cm="1">
        <f t="array" aca="1" ref="L27" ca="1">INDEX(IntRateCash,L$1)*(K38+L38)/2</f>
        <v>62.446233156648667</v>
      </c>
      <c r="M27" s="131" cm="1">
        <f t="array" aca="1" ref="M27" ca="1">INDEX(IntRateCash,M$1)*(L38+M38)/2</f>
        <v>60.27124186712561</v>
      </c>
      <c r="N27" s="131" cm="1">
        <f t="array" aca="1" ref="N27" ca="1">INDEX(IntRateCash,N$1)*(M38+N38)/2</f>
        <v>59.712973558464221</v>
      </c>
      <c r="O27" s="131" cm="1">
        <f t="array" aca="1" ref="O27" ca="1">INDEX(IntRateCash,O$1)*(N38+O38)/2</f>
        <v>63.40434697504022</v>
      </c>
      <c r="P27" s="131" cm="1">
        <f t="array" aca="1" ref="P27" ca="1">INDEX(IntRateCash,P$1)*(O38+P38)/2</f>
        <v>71.020620072836792</v>
      </c>
      <c r="Q27" s="131" cm="1">
        <f t="array" aca="1" ref="Q27" ca="1">INDEX(IntRateCash,Q$1)*(P38+Q38)/2</f>
        <v>82.998339040152487</v>
      </c>
      <c r="R27" s="131" cm="1">
        <f t="array" aca="1" ref="R27" ca="1">INDEX(IntRateCash,R$1)*(Q38+R38)/2</f>
        <v>100.46096950271411</v>
      </c>
    </row>
    <row r="28" spans="1:19" outlineLevel="1">
      <c r="A28" s="59" t="s">
        <v>61</v>
      </c>
      <c r="B28" s="157">
        <v>-1056</v>
      </c>
      <c r="C28" s="157">
        <v>-1490</v>
      </c>
      <c r="D28" s="157">
        <v>-1701</v>
      </c>
      <c r="E28" s="198">
        <v>-37</v>
      </c>
      <c r="F28" s="34">
        <v>-169</v>
      </c>
      <c r="G28" s="34">
        <v>-82</v>
      </c>
      <c r="H28" s="35">
        <f t="shared" si="5"/>
        <v>190.60344827586206</v>
      </c>
      <c r="I28" s="157" cm="1">
        <f t="array" ref="I28">-INDEX(IntRateDebt,I$1)*(D62+I62)/2</f>
        <v>-97.396551724137936</v>
      </c>
      <c r="J28" s="157" cm="1">
        <f t="array" ref="J28">-INDEX(IntRateDebt,J$1)*(I62+J62)/2</f>
        <v>-96.744827586206895</v>
      </c>
      <c r="K28" s="157" cm="1">
        <f t="array" ref="K28">-INDEX(IntRateDebt,K$1)*(J62+K62)/2</f>
        <v>-96.744827586206895</v>
      </c>
      <c r="L28" s="157" cm="1">
        <f t="array" ref="L28">-INDEX(IntRateDebt,L$1)*(K62+L62)/2</f>
        <v>-96.744827586206895</v>
      </c>
      <c r="M28" s="157" cm="1">
        <f t="array" ref="M28">-INDEX(IntRateDebt,M$1)*(L62+M62)/2</f>
        <v>-96.744827586206895</v>
      </c>
      <c r="N28" s="157" cm="1">
        <f t="array" ref="N28">-INDEX(IntRateDebt,N$1)*(M62+N62)/2</f>
        <v>-96.744827586206895</v>
      </c>
      <c r="O28" s="157" cm="1">
        <f t="array" ref="O28">-INDEX(IntRateDebt,O$1)*(N62+O62)/2</f>
        <v>-96.744827586206895</v>
      </c>
      <c r="P28" s="157" cm="1">
        <f t="array" ref="P28">-INDEX(IntRateDebt,P$1)*(O62+P62)/2</f>
        <v>-96.744827586206895</v>
      </c>
      <c r="Q28" s="157" cm="1">
        <f t="array" ref="Q28">-INDEX(IntRateDebt,Q$1)*(P62+Q62)/2</f>
        <v>-96.744827586206895</v>
      </c>
      <c r="R28" s="157" cm="1">
        <f t="array" ref="R28">-INDEX(IntRateDebt,R$1)*(Q62+R62)/2</f>
        <v>-96.744827586206895</v>
      </c>
    </row>
    <row r="29" spans="1:19">
      <c r="A29" s="57" t="s">
        <v>62</v>
      </c>
      <c r="B29" s="36">
        <f>B25+B27+B28</f>
        <v>-3981</v>
      </c>
      <c r="C29" s="36">
        <f t="shared" ref="C29:G29" si="18">C25+C27+C28</f>
        <v>-2743</v>
      </c>
      <c r="D29" s="36">
        <f t="shared" si="18"/>
        <v>-3552</v>
      </c>
      <c r="E29" s="37">
        <f t="shared" si="18"/>
        <v>-434</v>
      </c>
      <c r="F29" s="36">
        <f t="shared" si="18"/>
        <v>-570</v>
      </c>
      <c r="G29" s="36">
        <f t="shared" si="18"/>
        <v>-338</v>
      </c>
      <c r="H29" s="38">
        <f t="shared" ref="H29" ca="1" si="19">H25+H27+H28</f>
        <v>26.844476734502393</v>
      </c>
      <c r="I29" s="36">
        <f t="shared" ref="I29" ca="1" si="20">I25+I27+I28</f>
        <v>-1315.1555232654975</v>
      </c>
      <c r="J29" s="36">
        <f t="shared" ref="J29" ca="1" si="21">J25+J27+J28</f>
        <v>-1240.8678867968908</v>
      </c>
      <c r="K29" s="36">
        <f t="shared" ref="K29" ca="1" si="22">K25+K27+K28</f>
        <v>-1115.3266443387324</v>
      </c>
      <c r="L29" s="36">
        <f t="shared" ref="L29" ca="1" si="23">L25+L27+L28</f>
        <v>-889.04226524377259</v>
      </c>
      <c r="M29" s="36">
        <f t="shared" ref="M29" ca="1" si="24">M25+M27+M28</f>
        <v>-614.87568206534706</v>
      </c>
      <c r="N29" s="36">
        <f t="shared" ref="N29" ca="1" si="25">N25+N27+N28</f>
        <v>-237.31312880927203</v>
      </c>
      <c r="O29" s="36">
        <f t="shared" ref="O29" ca="1" si="26">O25+O27+O28</f>
        <v>229.91858097553961</v>
      </c>
      <c r="P29" s="36">
        <f t="shared" ref="P29" ca="1" si="27">P25+P27+P28</f>
        <v>772.80547214297167</v>
      </c>
      <c r="Q29" s="36">
        <f t="shared" ref="Q29" ca="1" si="28">Q25+Q27+Q28</f>
        <v>1385.2353443905422</v>
      </c>
      <c r="R29" s="36">
        <f t="shared" ref="R29" ca="1" si="29">R25+R27+R28</f>
        <v>2072.1471348874634</v>
      </c>
    </row>
    <row r="30" spans="1:19">
      <c r="B30" s="31"/>
      <c r="C30" s="31"/>
      <c r="D30" s="31"/>
      <c r="E30" s="32"/>
      <c r="F30" s="31"/>
      <c r="G30" s="31"/>
      <c r="H30" s="33"/>
      <c r="I30" s="31"/>
      <c r="J30" s="31"/>
      <c r="K30" s="31"/>
      <c r="L30" s="31"/>
      <c r="M30" s="31"/>
      <c r="N30" s="31"/>
      <c r="O30" s="31"/>
      <c r="P30" s="31"/>
      <c r="Q30" s="31"/>
      <c r="R30" s="31"/>
    </row>
    <row r="31" spans="1:19">
      <c r="A31" s="58" t="s">
        <v>63</v>
      </c>
      <c r="B31" s="131">
        <v>-7</v>
      </c>
      <c r="C31" s="131">
        <v>-2</v>
      </c>
      <c r="D31" s="131">
        <v>-3</v>
      </c>
      <c r="E31" s="32">
        <v>-1</v>
      </c>
      <c r="F31" s="31">
        <v>-2</v>
      </c>
      <c r="G31" s="31">
        <v>-4</v>
      </c>
      <c r="H31" s="33">
        <f t="shared" ca="1" si="5"/>
        <v>-3</v>
      </c>
      <c r="I31" s="131">
        <f ca="1">MIN(-10,-I29*0.2)</f>
        <v>-10</v>
      </c>
      <c r="J31" s="131">
        <f t="shared" ref="J31:R31" ca="1" si="30">MIN(-10,-J29*0.2)</f>
        <v>-10</v>
      </c>
      <c r="K31" s="131">
        <f t="shared" ca="1" si="30"/>
        <v>-10</v>
      </c>
      <c r="L31" s="131">
        <f t="shared" ca="1" si="30"/>
        <v>-10</v>
      </c>
      <c r="M31" s="131">
        <f t="shared" ca="1" si="30"/>
        <v>-10</v>
      </c>
      <c r="N31" s="131">
        <f t="shared" ca="1" si="30"/>
        <v>-10</v>
      </c>
      <c r="O31" s="131">
        <f t="shared" ca="1" si="30"/>
        <v>-45.983716195107924</v>
      </c>
      <c r="P31" s="131">
        <f t="shared" ca="1" si="30"/>
        <v>-154.56109442859434</v>
      </c>
      <c r="Q31" s="131">
        <f t="shared" ca="1" si="30"/>
        <v>-277.04706887810846</v>
      </c>
      <c r="R31" s="131">
        <f t="shared" ca="1" si="30"/>
        <v>-414.42942697749271</v>
      </c>
    </row>
    <row r="32" spans="1:19">
      <c r="A32" s="60" t="s">
        <v>64</v>
      </c>
      <c r="B32" s="40">
        <f t="shared" ref="B32:C32" si="31">B29+B31</f>
        <v>-3988</v>
      </c>
      <c r="C32" s="40">
        <f t="shared" si="31"/>
        <v>-2745</v>
      </c>
      <c r="D32" s="40">
        <f>D29+D31</f>
        <v>-3555</v>
      </c>
      <c r="E32" s="41">
        <f t="shared" ref="E32:G32" si="32">E29+E31</f>
        <v>-435</v>
      </c>
      <c r="F32" s="40">
        <f t="shared" si="32"/>
        <v>-572</v>
      </c>
      <c r="G32" s="40">
        <f t="shared" si="32"/>
        <v>-342</v>
      </c>
      <c r="H32" s="42">
        <f t="shared" ref="H32" ca="1" si="33">H29+H31</f>
        <v>23.844476734502393</v>
      </c>
      <c r="I32" s="40">
        <f t="shared" ref="I32" ca="1" si="34">I29+I31</f>
        <v>-1325.1555232654975</v>
      </c>
      <c r="J32" s="40">
        <f t="shared" ref="J32" ca="1" si="35">J29+J31</f>
        <v>-1250.8678867968908</v>
      </c>
      <c r="K32" s="40">
        <f t="shared" ref="K32" ca="1" si="36">K29+K31</f>
        <v>-1125.3266443387324</v>
      </c>
      <c r="L32" s="40">
        <f t="shared" ref="L32" ca="1" si="37">L29+L31</f>
        <v>-899.04226524377259</v>
      </c>
      <c r="M32" s="40">
        <f t="shared" ref="M32" ca="1" si="38">M29+M31</f>
        <v>-624.87568206534706</v>
      </c>
      <c r="N32" s="40">
        <f t="shared" ref="N32" ca="1" si="39">N29+N31</f>
        <v>-247.31312880927203</v>
      </c>
      <c r="O32" s="40">
        <f t="shared" ref="O32" ca="1" si="40">O29+O31</f>
        <v>183.9348647804317</v>
      </c>
      <c r="P32" s="40">
        <f t="shared" ref="P32" ca="1" si="41">P29+P31</f>
        <v>618.24437771437738</v>
      </c>
      <c r="Q32" s="40">
        <f t="shared" ref="Q32" ca="1" si="42">Q29+Q31</f>
        <v>1108.1882755124338</v>
      </c>
      <c r="R32" s="40">
        <f t="shared" ref="R32" ca="1" si="43">R29+R31</f>
        <v>1657.7177079099706</v>
      </c>
    </row>
    <row r="33" spans="1:18">
      <c r="A33" s="58" t="s">
        <v>65</v>
      </c>
      <c r="B33" s="131">
        <v>0</v>
      </c>
      <c r="C33" s="131">
        <v>0</v>
      </c>
      <c r="D33" s="131">
        <v>0</v>
      </c>
      <c r="E33" s="32">
        <v>0</v>
      </c>
      <c r="F33" s="31">
        <v>0</v>
      </c>
      <c r="G33" s="31">
        <v>0</v>
      </c>
      <c r="H33" s="33">
        <v>0</v>
      </c>
      <c r="I33" s="31" cm="1">
        <f t="array" aca="1" ref="I33" ca="1">IF(I32&lt;0,0,-I32*INDEX(DivPOR,I$1))</f>
        <v>0</v>
      </c>
      <c r="J33" s="31" cm="1">
        <f t="array" aca="1" ref="J33" ca="1">IF(J32&lt;0,0,-J32*INDEX(DivPOR,J$1))</f>
        <v>0</v>
      </c>
      <c r="K33" s="31" cm="1">
        <f t="array" aca="1" ref="K33" ca="1">IF(K32&lt;0,0,-K32*INDEX(DivPOR,K$1))</f>
        <v>0</v>
      </c>
      <c r="L33" s="31" cm="1">
        <f t="array" aca="1" ref="L33" ca="1">IF(L32&lt;0,0,-L32*INDEX(DivPOR,L$1))</f>
        <v>0</v>
      </c>
      <c r="M33" s="31" cm="1">
        <f t="array" aca="1" ref="M33" ca="1">IF(M32&lt;0,0,-M32*INDEX(DivPOR,M$1))</f>
        <v>0</v>
      </c>
      <c r="N33" s="31" cm="1">
        <f t="array" aca="1" ref="N33" ca="1">IF(N32&lt;0,0,-N32*INDEX(DivPOR,N$1))</f>
        <v>0</v>
      </c>
      <c r="O33" s="31" cm="1">
        <f t="array" aca="1" ref="O33" ca="1">IF(O32&lt;0,0,-O32*INDEX(DivPOR,O$1))</f>
        <v>-16.554137830238851</v>
      </c>
      <c r="P33" s="31" cm="1">
        <f t="array" aca="1" ref="P33" ca="1">IF(P32&lt;0,0,-P32*INDEX(DivPOR,P$1))</f>
        <v>-55.641993994293962</v>
      </c>
      <c r="Q33" s="31" cm="1">
        <f t="array" aca="1" ref="Q33" ca="1">IF(Q32&lt;0,0,-Q32*INDEX(DivPOR,Q$1))</f>
        <v>-99.736944796119047</v>
      </c>
      <c r="R33" s="31" cm="1">
        <f t="array" aca="1" ref="R33" ca="1">IF(R32&lt;0,0,-R32*INDEX(DivPOR,R$1))</f>
        <v>-149.19459371189734</v>
      </c>
    </row>
    <row r="34" spans="1:18" ht="15.75" thickBot="1">
      <c r="A34" s="61" t="s">
        <v>66</v>
      </c>
      <c r="B34" s="43">
        <f>B32+B33</f>
        <v>-3988</v>
      </c>
      <c r="C34" s="43">
        <f t="shared" ref="C34:D34" si="44">C32+C33</f>
        <v>-2745</v>
      </c>
      <c r="D34" s="43">
        <f t="shared" si="44"/>
        <v>-3555</v>
      </c>
      <c r="E34" s="44">
        <f t="shared" ref="E34" si="45">E32+E33</f>
        <v>-435</v>
      </c>
      <c r="F34" s="43">
        <f t="shared" ref="F34" si="46">F32+F33</f>
        <v>-572</v>
      </c>
      <c r="G34" s="43">
        <f t="shared" ref="G34" si="47">G32+G33</f>
        <v>-342</v>
      </c>
      <c r="H34" s="45">
        <f t="shared" ref="H34" ca="1" si="48">H32+H33</f>
        <v>23.844476734502393</v>
      </c>
      <c r="I34" s="43">
        <f t="shared" ref="I34" ca="1" si="49">I32+I33</f>
        <v>-1325.1555232654975</v>
      </c>
      <c r="J34" s="43">
        <f t="shared" ref="J34" ca="1" si="50">J32+J33</f>
        <v>-1250.8678867968908</v>
      </c>
      <c r="K34" s="43">
        <f t="shared" ref="K34" ca="1" si="51">K32+K33</f>
        <v>-1125.3266443387324</v>
      </c>
      <c r="L34" s="43">
        <f t="shared" ref="L34" ca="1" si="52">L32+L33</f>
        <v>-899.04226524377259</v>
      </c>
      <c r="M34" s="43">
        <f t="shared" ref="M34" ca="1" si="53">M32+M33</f>
        <v>-624.87568206534706</v>
      </c>
      <c r="N34" s="43">
        <f t="shared" ref="N34" ca="1" si="54">N32+N33</f>
        <v>-247.31312880927203</v>
      </c>
      <c r="O34" s="43">
        <f t="shared" ref="O34" ca="1" si="55">O32+O33</f>
        <v>167.38072695019284</v>
      </c>
      <c r="P34" s="43">
        <f t="shared" ref="P34" ca="1" si="56">P32+P33</f>
        <v>562.60238372008337</v>
      </c>
      <c r="Q34" s="43">
        <f t="shared" ref="Q34" ca="1" si="57">Q32+Q33</f>
        <v>1008.4513307163148</v>
      </c>
      <c r="R34" s="43">
        <f t="shared" ref="R34" ca="1" si="58">R32+R33</f>
        <v>1508.5231141980732</v>
      </c>
    </row>
    <row r="35" spans="1:18" ht="15.75" thickTop="1">
      <c r="B35" s="31"/>
      <c r="C35" s="31"/>
      <c r="D35" s="31"/>
      <c r="E35" s="32"/>
      <c r="F35" s="31"/>
      <c r="G35" s="31"/>
      <c r="H35" s="39"/>
      <c r="I35" s="31"/>
      <c r="J35" s="31"/>
      <c r="K35" s="31"/>
      <c r="L35" s="31"/>
      <c r="M35" s="31"/>
      <c r="N35" s="31"/>
      <c r="O35" s="31"/>
      <c r="P35" s="31"/>
      <c r="Q35" s="31"/>
      <c r="R35" s="31"/>
    </row>
    <row r="36" spans="1:18">
      <c r="A36" s="58" t="s">
        <v>67</v>
      </c>
      <c r="B36" s="31"/>
      <c r="C36" s="31"/>
      <c r="D36" s="31"/>
      <c r="E36" s="32"/>
      <c r="F36" s="31"/>
      <c r="G36" s="31"/>
      <c r="H36" s="39"/>
      <c r="I36" s="715"/>
      <c r="J36" s="27"/>
      <c r="K36" s="27"/>
      <c r="L36" s="693"/>
      <c r="M36" s="27"/>
      <c r="N36" s="27"/>
      <c r="O36" s="31"/>
      <c r="P36" s="31"/>
      <c r="Q36" s="31"/>
      <c r="R36" s="31"/>
    </row>
    <row r="37" spans="1:18" ht="15.75" outlineLevel="1" thickBot="1">
      <c r="A37" s="58" t="s">
        <v>68</v>
      </c>
      <c r="B37" s="27">
        <v>2000</v>
      </c>
      <c r="C37" s="31"/>
      <c r="D37" s="31"/>
      <c r="E37" s="32"/>
      <c r="F37" s="31"/>
      <c r="G37" s="31"/>
      <c r="H37" s="39"/>
      <c r="I37" s="31"/>
      <c r="J37" s="31"/>
      <c r="K37" s="31"/>
      <c r="L37" s="31"/>
      <c r="M37" s="31"/>
      <c r="N37" s="31"/>
      <c r="O37" s="31"/>
      <c r="P37" s="31"/>
      <c r="Q37" s="31"/>
      <c r="R37" s="31"/>
    </row>
    <row r="38" spans="1:18" outlineLevel="1">
      <c r="A38" s="58" t="s">
        <v>69</v>
      </c>
      <c r="B38" s="131">
        <v>1372</v>
      </c>
      <c r="C38" s="131">
        <v>2173</v>
      </c>
      <c r="D38" s="131">
        <v>4991</v>
      </c>
      <c r="E38" s="277">
        <v>3387</v>
      </c>
      <c r="F38" s="278">
        <v>2793</v>
      </c>
      <c r="G38" s="278">
        <v>2447</v>
      </c>
      <c r="H38" s="140"/>
      <c r="I38" s="131">
        <f t="shared" ref="I38" ca="1" si="59">I76-I51-I42-I41-I40-I39</f>
        <v>5062.1410443048226</v>
      </c>
      <c r="J38" s="131">
        <f t="shared" ref="J38:R38" ca="1" si="60">J76-J51-J42-J41-J40-J39</f>
        <v>4614.6336561865146</v>
      </c>
      <c r="K38" s="131">
        <f t="shared" ca="1" si="60"/>
        <v>4217.401085309516</v>
      </c>
      <c r="L38" s="131">
        <f t="shared" ca="1" si="60"/>
        <v>4108.7633355769731</v>
      </c>
      <c r="M38" s="131">
        <f t="shared" ca="1" si="60"/>
        <v>3927.4022467064419</v>
      </c>
      <c r="N38" s="131">
        <f t="shared" ca="1" si="60"/>
        <v>4034.3275610887881</v>
      </c>
      <c r="O38" s="131">
        <f t="shared" ca="1" si="60"/>
        <v>4419.5853689165751</v>
      </c>
      <c r="P38" s="131">
        <f t="shared" ca="1" si="60"/>
        <v>5049.8306407949976</v>
      </c>
      <c r="Q38" s="131">
        <f t="shared" ca="1" si="60"/>
        <v>6016.6145645586676</v>
      </c>
      <c r="R38" s="131">
        <f t="shared" ca="1" si="60"/>
        <v>7378.1813691365478</v>
      </c>
    </row>
    <row r="39" spans="1:18" outlineLevel="1">
      <c r="A39" s="58" t="s">
        <v>70</v>
      </c>
      <c r="B39" s="131">
        <v>5</v>
      </c>
      <c r="C39" s="131">
        <v>3</v>
      </c>
      <c r="D39" s="131">
        <v>4</v>
      </c>
      <c r="E39" s="132">
        <v>45</v>
      </c>
      <c r="F39" s="131">
        <v>47</v>
      </c>
      <c r="G39" s="131">
        <v>42</v>
      </c>
      <c r="H39" s="141"/>
      <c r="I39" s="131" cm="1">
        <f t="array" aca="1" ref="I39" ca="1">-I9/INDEX(InventoryTurnover,I$1)</f>
        <v>40.239429553745822</v>
      </c>
      <c r="J39" s="131" cm="1">
        <f t="array" aca="1" ref="J39" ca="1">-J9/INDEX(InventoryTurnover,J$1)</f>
        <v>52.705659412706119</v>
      </c>
      <c r="K39" s="131" cm="1">
        <f t="array" aca="1" ref="K39" ca="1">-K9/INDEX(InventoryTurnover,K$1)</f>
        <v>64.111603208995106</v>
      </c>
      <c r="L39" s="131" cm="1">
        <f t="array" aca="1" ref="L39" ca="1">-L9/INDEX(InventoryTurnover,L$1)</f>
        <v>76.450926803262576</v>
      </c>
      <c r="M39" s="131" cm="1">
        <f t="array" aca="1" ref="M39" ca="1">-M9/INDEX(InventoryTurnover,M$1)</f>
        <v>84.326902636207308</v>
      </c>
      <c r="N39" s="131" cm="1">
        <f t="array" aca="1" ref="N39" ca="1">-N9/INDEX(InventoryTurnover,N$1)</f>
        <v>91.382527528763106</v>
      </c>
      <c r="O39" s="131" cm="1">
        <f t="array" aca="1" ref="O39" ca="1">-O9/INDEX(InventoryTurnover,O$1)</f>
        <v>96.606745266251835</v>
      </c>
      <c r="P39" s="131" cm="1">
        <f t="array" aca="1" ref="P39" ca="1">-P9/INDEX(InventoryTurnover,P$1)</f>
        <v>99.679310922584506</v>
      </c>
      <c r="Q39" s="131" cm="1">
        <f t="array" aca="1" ref="Q39" ca="1">-Q9/INDEX(InventoryTurnover,Q$1)</f>
        <v>101.19403783026279</v>
      </c>
      <c r="R39" s="131" cm="1">
        <f t="array" aca="1" ref="R39" ca="1">-R9/INDEX(InventoryTurnover,R$1)</f>
        <v>101.3451457544819</v>
      </c>
    </row>
    <row r="40" spans="1:18" outlineLevel="1">
      <c r="A40" s="58" t="s">
        <v>71</v>
      </c>
      <c r="B40" s="131">
        <v>274</v>
      </c>
      <c r="C40" s="131">
        <v>172</v>
      </c>
      <c r="D40" s="131">
        <v>255</v>
      </c>
      <c r="E40" s="132">
        <v>304</v>
      </c>
      <c r="F40" s="131">
        <v>303</v>
      </c>
      <c r="G40" s="131">
        <v>310</v>
      </c>
      <c r="H40" s="141"/>
      <c r="I40" s="131" cm="1">
        <f t="array" aca="1" ref="I40" ca="1">I3/INDEX(ReceivablesTurnover,I$1)</f>
        <v>312.56434010991393</v>
      </c>
      <c r="J40" s="131" cm="1">
        <f t="array" aca="1" ref="J40" ca="1">J3/INDEX(ReceivablesTurnover,J$1)</f>
        <v>376.35280295470784</v>
      </c>
      <c r="K40" s="131" cm="1">
        <f t="array" aca="1" ref="K40" ca="1">K3/INDEX(ReceivablesTurnover,K$1)</f>
        <v>441.56757289883166</v>
      </c>
      <c r="L40" s="131" cm="1">
        <f t="array" aca="1" ref="L40" ca="1">L3/INDEX(ReceivablesTurnover,L$1)</f>
        <v>511.78849656373637</v>
      </c>
      <c r="M40" s="131" cm="1">
        <f t="array" aca="1" ref="M40" ca="1">M3/INDEX(ReceivablesTurnover,M$1)</f>
        <v>575.30417319214018</v>
      </c>
      <c r="N40" s="131" cm="1">
        <f t="array" aca="1" ref="N40" ca="1">N3/INDEX(ReceivablesTurnover,N$1)</f>
        <v>639.03432918038254</v>
      </c>
      <c r="O40" s="131" cm="1">
        <f t="array" aca="1" ref="O40" ca="1">O3/INDEX(ReceivablesTurnover,O$1)</f>
        <v>697.93276913972898</v>
      </c>
      <c r="P40" s="131" cm="1">
        <f t="array" aca="1" ref="P40" ca="1">P3/INDEX(ReceivablesTurnover,P$1)</f>
        <v>749.58626025028059</v>
      </c>
      <c r="Q40" s="131" cm="1">
        <f t="array" aca="1" ref="Q40" ca="1">Q3/INDEX(ReceivablesTurnover,Q$1)</f>
        <v>798.20791532347948</v>
      </c>
      <c r="R40" s="131" cm="1">
        <f t="array" aca="1" ref="R40" ca="1">R3/INDEX(ReceivablesTurnover,R$1)</f>
        <v>845.24999515568572</v>
      </c>
    </row>
    <row r="41" spans="1:18" outlineLevel="1">
      <c r="A41" s="58" t="s">
        <v>72</v>
      </c>
      <c r="B41" s="131">
        <v>68</v>
      </c>
      <c r="C41" s="131">
        <v>109</v>
      </c>
      <c r="D41" s="131">
        <v>185</v>
      </c>
      <c r="E41" s="132">
        <v>226</v>
      </c>
      <c r="F41" s="131">
        <v>286</v>
      </c>
      <c r="G41" s="131">
        <v>223</v>
      </c>
      <c r="H41" s="141"/>
      <c r="I41" s="131">
        <f>G41</f>
        <v>223</v>
      </c>
      <c r="J41" s="131">
        <f>I41</f>
        <v>223</v>
      </c>
      <c r="K41" s="131">
        <f t="shared" ref="K41:R41" si="61">J41</f>
        <v>223</v>
      </c>
      <c r="L41" s="131">
        <f t="shared" si="61"/>
        <v>223</v>
      </c>
      <c r="M41" s="131">
        <f t="shared" si="61"/>
        <v>223</v>
      </c>
      <c r="N41" s="131">
        <f t="shared" si="61"/>
        <v>223</v>
      </c>
      <c r="O41" s="131">
        <f t="shared" si="61"/>
        <v>223</v>
      </c>
      <c r="P41" s="131">
        <f t="shared" si="61"/>
        <v>223</v>
      </c>
      <c r="Q41" s="131">
        <f t="shared" si="61"/>
        <v>223</v>
      </c>
      <c r="R41" s="131">
        <f t="shared" si="61"/>
        <v>223</v>
      </c>
    </row>
    <row r="42" spans="1:18" outlineLevel="1">
      <c r="A42" s="58" t="s">
        <v>73</v>
      </c>
      <c r="B42" s="131">
        <v>1421</v>
      </c>
      <c r="C42" s="131">
        <v>1298</v>
      </c>
      <c r="D42" s="131">
        <v>3240</v>
      </c>
      <c r="E42" s="132">
        <v>4095</v>
      </c>
      <c r="F42" s="131">
        <v>4021</v>
      </c>
      <c r="G42" s="131">
        <v>4114</v>
      </c>
      <c r="H42" s="141"/>
      <c r="I42" s="131">
        <f>G42</f>
        <v>4114</v>
      </c>
      <c r="J42" s="131">
        <f>I42</f>
        <v>4114</v>
      </c>
      <c r="K42" s="131">
        <f t="shared" ref="K42:R42" si="62">J42</f>
        <v>4114</v>
      </c>
      <c r="L42" s="131">
        <f t="shared" si="62"/>
        <v>4114</v>
      </c>
      <c r="M42" s="131">
        <f t="shared" si="62"/>
        <v>4114</v>
      </c>
      <c r="N42" s="131">
        <f t="shared" si="62"/>
        <v>4114</v>
      </c>
      <c r="O42" s="131">
        <f t="shared" si="62"/>
        <v>4114</v>
      </c>
      <c r="P42" s="131">
        <f t="shared" si="62"/>
        <v>4114</v>
      </c>
      <c r="Q42" s="131">
        <f t="shared" si="62"/>
        <v>4114</v>
      </c>
      <c r="R42" s="131">
        <f t="shared" si="62"/>
        <v>4114</v>
      </c>
    </row>
    <row r="43" spans="1:18" outlineLevel="1">
      <c r="A43" s="58" t="s">
        <v>74</v>
      </c>
      <c r="B43" s="131">
        <f t="shared" ref="B43" si="63">SUM(B38:B42)</f>
        <v>3140</v>
      </c>
      <c r="C43" s="131">
        <f t="shared" ref="C43" si="64">SUM(C38:C42)</f>
        <v>3755</v>
      </c>
      <c r="D43" s="131">
        <f t="shared" ref="D43" si="65">SUM(D38:D42)</f>
        <v>8675</v>
      </c>
      <c r="E43" s="132">
        <f t="shared" ref="E43" si="66">SUM(E38:E42)</f>
        <v>8057</v>
      </c>
      <c r="F43" s="131">
        <f t="shared" ref="F43" si="67">SUM(F38:F42)</f>
        <v>7450</v>
      </c>
      <c r="G43" s="131">
        <f t="shared" ref="G43" si="68">SUM(G38:G42)</f>
        <v>7136</v>
      </c>
      <c r="H43" s="141">
        <f t="shared" ref="H43" si="69">SUM(H38:H42)</f>
        <v>0</v>
      </c>
      <c r="I43" s="131">
        <f t="shared" ref="I43:J43" ca="1" si="70">SUM(I38:I42)</f>
        <v>9751.9448139684828</v>
      </c>
      <c r="J43" s="131">
        <f t="shared" ca="1" si="70"/>
        <v>9380.6921185539286</v>
      </c>
      <c r="K43" s="131">
        <f t="shared" ref="K43" ca="1" si="71">SUM(K38:K42)</f>
        <v>9060.0802614173426</v>
      </c>
      <c r="L43" s="131">
        <f t="shared" ref="L43" ca="1" si="72">SUM(L38:L42)</f>
        <v>9034.0027589439724</v>
      </c>
      <c r="M43" s="131">
        <f t="shared" ref="M43" ca="1" si="73">SUM(M38:M42)</f>
        <v>8924.0333225347895</v>
      </c>
      <c r="N43" s="131">
        <f t="shared" ref="N43" ca="1" si="74">SUM(N38:N42)</f>
        <v>9101.7444177979341</v>
      </c>
      <c r="O43" s="131">
        <f t="shared" ref="O43" ca="1" si="75">SUM(O38:O42)</f>
        <v>9551.1248833225563</v>
      </c>
      <c r="P43" s="131">
        <f t="shared" ref="P43" ca="1" si="76">SUM(P38:P42)</f>
        <v>10236.096211967862</v>
      </c>
      <c r="Q43" s="131">
        <f t="shared" ref="Q43" ca="1" si="77">SUM(Q38:Q42)</f>
        <v>11253.016517712409</v>
      </c>
      <c r="R43" s="131">
        <f t="shared" ref="R43" ca="1" si="78">SUM(R38:R42)</f>
        <v>12661.776510046715</v>
      </c>
    </row>
    <row r="44" spans="1:18" outlineLevel="1">
      <c r="B44" s="131"/>
      <c r="C44" s="131"/>
      <c r="D44" s="131"/>
      <c r="E44" s="132"/>
      <c r="F44" s="131"/>
      <c r="G44" s="131"/>
      <c r="H44" s="141"/>
      <c r="I44" s="131"/>
      <c r="J44" s="131"/>
      <c r="K44" s="131"/>
      <c r="L44" s="131"/>
      <c r="M44" s="131"/>
      <c r="N44" s="131"/>
      <c r="O44" s="131"/>
      <c r="P44" s="131"/>
      <c r="Q44" s="131"/>
      <c r="R44" s="131"/>
    </row>
    <row r="45" spans="1:18" outlineLevel="1">
      <c r="A45" s="58" t="s">
        <v>75</v>
      </c>
      <c r="B45" s="131">
        <v>512</v>
      </c>
      <c r="C45" s="131">
        <v>384</v>
      </c>
      <c r="D45" s="131">
        <v>441</v>
      </c>
      <c r="E45" s="132">
        <v>508</v>
      </c>
      <c r="F45" s="131">
        <v>494</v>
      </c>
      <c r="G45" s="131">
        <v>470</v>
      </c>
      <c r="H45" s="141"/>
      <c r="I45" s="131" cm="1">
        <f t="array" aca="1" ref="I45" ca="1">INDEX(Revenue,I$1)/INDEX(PPETurnover,I$1)</f>
        <v>488.18545891150524</v>
      </c>
      <c r="J45" s="131" cm="1">
        <f t="array" aca="1" ref="J45" ca="1">INDEX(Revenue,J$1)/INDEX(PPETurnover,J$1)</f>
        <v>639.30171454878678</v>
      </c>
      <c r="K45" s="131" cm="1">
        <f t="array" aca="1" ref="K45" ca="1">INDEX(Revenue,K$1)/INDEX(PPETurnover,K$1)</f>
        <v>776.72636882846837</v>
      </c>
      <c r="L45" s="131" cm="1">
        <f t="array" aca="1" ref="L45" ca="1">INDEX(Revenue,L$1)/INDEX(PPETurnover,L$1)</f>
        <v>923.03416459999949</v>
      </c>
      <c r="M45" s="131" cm="1">
        <f t="array" aca="1" ref="M45" ca="1">INDEX(Revenue,M$1)/INDEX(PPETurnover,M$1)</f>
        <v>1056.1242436946493</v>
      </c>
      <c r="N45" s="131" cm="1">
        <f t="array" aca="1" ref="N45" ca="1">INDEX(Revenue,N$1)/INDEX(PPETurnover,N$1)</f>
        <v>1210.6075597268102</v>
      </c>
      <c r="O45" s="131" cm="1">
        <f t="array" aca="1" ref="O45" ca="1">INDEX(Revenue,O$1)/INDEX(PPETurnover,O$1)</f>
        <v>1355.936456710318</v>
      </c>
      <c r="P45" s="131" cm="1">
        <f t="array" aca="1" ref="P45" ca="1">INDEX(Revenue,P$1)/INDEX(PPETurnover,P$1)</f>
        <v>1482.4447282725957</v>
      </c>
      <c r="Q45" s="131" cm="1">
        <f t="array" aca="1" ref="Q45" ca="1">INDEX(Revenue,Q$1)/INDEX(PPETurnover,Q$1)</f>
        <v>1593.2708263694465</v>
      </c>
      <c r="R45" s="131" cm="1">
        <f t="array" aca="1" ref="R45" ca="1">INDEX(Revenue,R$1)/INDEX(PPETurnover,R$1)</f>
        <v>1698.7577041802954</v>
      </c>
    </row>
    <row r="46" spans="1:18" outlineLevel="1">
      <c r="A46" s="58" t="s">
        <v>76</v>
      </c>
      <c r="B46" s="131">
        <v>1202</v>
      </c>
      <c r="C46" s="131">
        <v>913</v>
      </c>
      <c r="D46" s="131">
        <v>675</v>
      </c>
      <c r="E46" s="132">
        <v>905</v>
      </c>
      <c r="F46" s="131">
        <v>905</v>
      </c>
      <c r="G46" s="131">
        <v>904</v>
      </c>
      <c r="H46" s="141"/>
      <c r="I46" s="131" cm="1">
        <f t="array" aca="1" ref="I46" ca="1">INDEX(Revenue,I$1)/INDEX(IntangibleTurnover,I$1)</f>
        <v>904.00000000000011</v>
      </c>
      <c r="J46" s="131" cm="1">
        <f t="array" aca="1" ref="J46" ca="1">INDEX(Revenue,J$1)/INDEX(IntangibleTurnover,J$1)</f>
        <v>912.12104122707353</v>
      </c>
      <c r="K46" s="131" cm="1">
        <f t="array" aca="1" ref="K46" ca="1">INDEX(Revenue,K$1)/INDEX(IntangibleTurnover,K$1)</f>
        <v>920.47691610266213</v>
      </c>
      <c r="L46" s="131" cm="1">
        <f t="array" aca="1" ref="L46" ca="1">INDEX(Revenue,L$1)/INDEX(IntangibleTurnover,L$1)</f>
        <v>929.48132374968532</v>
      </c>
      <c r="M46" s="131" cm="1">
        <f t="array" aca="1" ref="M46" ca="1">INDEX(Revenue,M$1)/INDEX(IntangibleTurnover,M$1)</f>
        <v>937.8163184109319</v>
      </c>
      <c r="N46" s="131" cm="1">
        <f t="array" aca="1" ref="N46" ca="1">INDEX(Revenue,N$1)/INDEX(IntangibleTurnover,N$1)</f>
        <v>946.27751935266861</v>
      </c>
      <c r="O46" s="131" cm="1">
        <f t="array" aca="1" ref="O46" ca="1">INDEX(Revenue,O$1)/INDEX(IntangibleTurnover,O$1)</f>
        <v>954.30036191879128</v>
      </c>
      <c r="P46" s="131" cm="1">
        <f t="array" aca="1" ref="P46" ca="1">INDEX(Revenue,P$1)/INDEX(IntangibleTurnover,P$1)</f>
        <v>961.47028345901322</v>
      </c>
      <c r="Q46" s="131" cm="1">
        <f t="array" aca="1" ref="Q46" ca="1">INDEX(Revenue,Q$1)/INDEX(IntangibleTurnover,Q$1)</f>
        <v>968.40245264045541</v>
      </c>
      <c r="R46" s="131" cm="1">
        <f t="array" aca="1" ref="R46" ca="1">INDEX(Revenue,R$1)/INDEX(IntangibleTurnover,R$1)</f>
        <v>975.2710237116313</v>
      </c>
    </row>
    <row r="47" spans="1:18" outlineLevel="1">
      <c r="A47" s="58" t="s">
        <v>77</v>
      </c>
      <c r="B47" s="131"/>
      <c r="C47" s="131">
        <v>9</v>
      </c>
      <c r="D47" s="131">
        <v>14</v>
      </c>
      <c r="E47" s="132">
        <v>48</v>
      </c>
      <c r="F47" s="131">
        <v>45</v>
      </c>
      <c r="G47" s="131">
        <v>110</v>
      </c>
      <c r="H47" s="141"/>
      <c r="I47" s="131">
        <f>G47</f>
        <v>110</v>
      </c>
      <c r="J47" s="131">
        <f>I47</f>
        <v>110</v>
      </c>
      <c r="K47" s="131">
        <f t="shared" ref="K47:R47" si="79">J47</f>
        <v>110</v>
      </c>
      <c r="L47" s="131">
        <f t="shared" si="79"/>
        <v>110</v>
      </c>
      <c r="M47" s="131">
        <f t="shared" si="79"/>
        <v>110</v>
      </c>
      <c r="N47" s="131">
        <f t="shared" si="79"/>
        <v>110</v>
      </c>
      <c r="O47" s="131">
        <f t="shared" si="79"/>
        <v>110</v>
      </c>
      <c r="P47" s="131">
        <f t="shared" si="79"/>
        <v>110</v>
      </c>
      <c r="Q47" s="131">
        <f t="shared" si="79"/>
        <v>110</v>
      </c>
      <c r="R47" s="131">
        <f t="shared" si="79"/>
        <v>110</v>
      </c>
    </row>
    <row r="48" spans="1:18" outlineLevel="1">
      <c r="A48" s="58" t="s">
        <v>78</v>
      </c>
      <c r="B48" s="131">
        <v>0</v>
      </c>
      <c r="C48" s="131">
        <v>0</v>
      </c>
      <c r="D48" s="131">
        <v>5</v>
      </c>
      <c r="E48" s="132">
        <v>4</v>
      </c>
      <c r="F48" s="131">
        <v>9</v>
      </c>
      <c r="G48" s="131">
        <v>7</v>
      </c>
      <c r="H48" s="141"/>
      <c r="I48" s="131">
        <f t="shared" ref="I48:I50" si="80">G48</f>
        <v>7</v>
      </c>
      <c r="J48" s="131">
        <f t="shared" ref="J48:R50" si="81">I48</f>
        <v>7</v>
      </c>
      <c r="K48" s="131">
        <f t="shared" si="81"/>
        <v>7</v>
      </c>
      <c r="L48" s="131">
        <f t="shared" si="81"/>
        <v>7</v>
      </c>
      <c r="M48" s="131">
        <f t="shared" si="81"/>
        <v>7</v>
      </c>
      <c r="N48" s="131">
        <f t="shared" si="81"/>
        <v>7</v>
      </c>
      <c r="O48" s="131">
        <f t="shared" si="81"/>
        <v>7</v>
      </c>
      <c r="P48" s="131">
        <f t="shared" si="81"/>
        <v>7</v>
      </c>
      <c r="Q48" s="131">
        <f t="shared" si="81"/>
        <v>7</v>
      </c>
      <c r="R48" s="131">
        <f t="shared" si="81"/>
        <v>7</v>
      </c>
    </row>
    <row r="49" spans="1:18" outlineLevel="1">
      <c r="A49" s="58" t="s">
        <v>73</v>
      </c>
      <c r="B49" s="131">
        <v>165</v>
      </c>
      <c r="C49" s="131">
        <v>377</v>
      </c>
      <c r="D49" s="131">
        <v>1241</v>
      </c>
      <c r="E49" s="132">
        <v>1283</v>
      </c>
      <c r="F49" s="131">
        <v>1327</v>
      </c>
      <c r="G49" s="131">
        <v>1311</v>
      </c>
      <c r="H49" s="141"/>
      <c r="I49" s="131">
        <f t="shared" si="80"/>
        <v>1311</v>
      </c>
      <c r="J49" s="131">
        <f t="shared" si="81"/>
        <v>1311</v>
      </c>
      <c r="K49" s="131">
        <f t="shared" si="81"/>
        <v>1311</v>
      </c>
      <c r="L49" s="131">
        <f t="shared" si="81"/>
        <v>1311</v>
      </c>
      <c r="M49" s="131">
        <f t="shared" si="81"/>
        <v>1311</v>
      </c>
      <c r="N49" s="131">
        <f t="shared" si="81"/>
        <v>1311</v>
      </c>
      <c r="O49" s="131">
        <f t="shared" si="81"/>
        <v>1311</v>
      </c>
      <c r="P49" s="131">
        <f t="shared" si="81"/>
        <v>1311</v>
      </c>
      <c r="Q49" s="131">
        <f t="shared" si="81"/>
        <v>1311</v>
      </c>
      <c r="R49" s="131">
        <f t="shared" si="81"/>
        <v>1311</v>
      </c>
    </row>
    <row r="50" spans="1:18" outlineLevel="1">
      <c r="A50" s="58" t="s">
        <v>72</v>
      </c>
      <c r="B50" s="131">
        <v>5</v>
      </c>
      <c r="C50" s="131">
        <v>4</v>
      </c>
      <c r="D50" s="131">
        <v>127</v>
      </c>
      <c r="E50" s="132">
        <v>126</v>
      </c>
      <c r="F50" s="131">
        <v>124</v>
      </c>
      <c r="G50" s="131">
        <v>129</v>
      </c>
      <c r="H50" s="141"/>
      <c r="I50" s="131">
        <f t="shared" si="80"/>
        <v>129</v>
      </c>
      <c r="J50" s="131">
        <f t="shared" si="81"/>
        <v>129</v>
      </c>
      <c r="K50" s="131">
        <f t="shared" si="81"/>
        <v>129</v>
      </c>
      <c r="L50" s="131">
        <f t="shared" si="81"/>
        <v>129</v>
      </c>
      <c r="M50" s="131">
        <f t="shared" si="81"/>
        <v>129</v>
      </c>
      <c r="N50" s="131">
        <f t="shared" si="81"/>
        <v>129</v>
      </c>
      <c r="O50" s="131">
        <f t="shared" si="81"/>
        <v>129</v>
      </c>
      <c r="P50" s="131">
        <f t="shared" si="81"/>
        <v>129</v>
      </c>
      <c r="Q50" s="131">
        <f t="shared" si="81"/>
        <v>129</v>
      </c>
      <c r="R50" s="131">
        <f t="shared" si="81"/>
        <v>129</v>
      </c>
    </row>
    <row r="51" spans="1:18" outlineLevel="1">
      <c r="A51" s="58" t="s">
        <v>79</v>
      </c>
      <c r="B51" s="131">
        <f t="shared" ref="B51" si="82">SUM(B45:B50)</f>
        <v>1884</v>
      </c>
      <c r="C51" s="131">
        <f>SUM(C45:C50)</f>
        <v>1687</v>
      </c>
      <c r="D51" s="131">
        <f t="shared" ref="D51" si="83">SUM(D45:D50)</f>
        <v>2503</v>
      </c>
      <c r="E51" s="132">
        <f t="shared" ref="E51" si="84">SUM(E45:E50)</f>
        <v>2874</v>
      </c>
      <c r="F51" s="131">
        <f>SUM(F45:F50)</f>
        <v>2904</v>
      </c>
      <c r="G51" s="131">
        <f>SUM(G45:G50)</f>
        <v>2931</v>
      </c>
      <c r="H51" s="141">
        <f t="shared" ref="H51:R51" si="85">SUM(H45:H50)</f>
        <v>0</v>
      </c>
      <c r="I51" s="131">
        <f t="shared" ca="1" si="85"/>
        <v>2949.1854589115055</v>
      </c>
      <c r="J51" s="131">
        <f t="shared" ca="1" si="85"/>
        <v>3108.4227557758604</v>
      </c>
      <c r="K51" s="131">
        <f t="shared" ca="1" si="85"/>
        <v>3254.2032849311304</v>
      </c>
      <c r="L51" s="131">
        <f t="shared" ca="1" si="85"/>
        <v>3409.5154883496848</v>
      </c>
      <c r="M51" s="131">
        <f t="shared" ca="1" si="85"/>
        <v>3550.9405621055812</v>
      </c>
      <c r="N51" s="131">
        <f t="shared" ca="1" si="85"/>
        <v>3713.8850790794786</v>
      </c>
      <c r="O51" s="131">
        <f t="shared" ca="1" si="85"/>
        <v>3867.2368186291092</v>
      </c>
      <c r="P51" s="131">
        <f t="shared" ca="1" si="85"/>
        <v>4000.915011731609</v>
      </c>
      <c r="Q51" s="131">
        <f t="shared" ca="1" si="85"/>
        <v>4118.6732790099013</v>
      </c>
      <c r="R51" s="131">
        <f t="shared" ca="1" si="85"/>
        <v>4231.0287278919268</v>
      </c>
    </row>
    <row r="52" spans="1:18" outlineLevel="1">
      <c r="A52" s="58" t="s">
        <v>80</v>
      </c>
      <c r="B52" s="133">
        <f t="shared" ref="B52" si="86">B43+B51</f>
        <v>5024</v>
      </c>
      <c r="C52" s="133">
        <f>C43+C51</f>
        <v>5442</v>
      </c>
      <c r="D52" s="133">
        <f t="shared" ref="D52" si="87">D43+D51</f>
        <v>11178</v>
      </c>
      <c r="E52" s="134">
        <f t="shared" ref="E52" si="88">E43+E51</f>
        <v>10931</v>
      </c>
      <c r="F52" s="133">
        <f>F43+F51</f>
        <v>10354</v>
      </c>
      <c r="G52" s="133">
        <f t="shared" ref="G52" si="89">G43+G51</f>
        <v>10067</v>
      </c>
      <c r="H52" s="142">
        <f t="shared" ref="H52" si="90">H43+H51</f>
        <v>0</v>
      </c>
      <c r="I52" s="47">
        <f t="shared" ref="I52" ca="1" si="91">I43+I51</f>
        <v>12701.130272879989</v>
      </c>
      <c r="J52" s="47">
        <f t="shared" ref="J52" ca="1" si="92">J43+J51</f>
        <v>12489.114874329789</v>
      </c>
      <c r="K52" s="47">
        <f t="shared" ref="K52" ca="1" si="93">K43+K51</f>
        <v>12314.283546348473</v>
      </c>
      <c r="L52" s="47">
        <f t="shared" ref="L52" ca="1" si="94">L43+L51</f>
        <v>12443.518247293658</v>
      </c>
      <c r="M52" s="47">
        <f t="shared" ref="M52" ca="1" si="95">M43+M51</f>
        <v>12474.973884640371</v>
      </c>
      <c r="N52" s="47">
        <f t="shared" ref="N52" ca="1" si="96">N43+N51</f>
        <v>12815.629496877413</v>
      </c>
      <c r="O52" s="47">
        <f t="shared" ref="O52" ca="1" si="97">O43+O51</f>
        <v>13418.361701951666</v>
      </c>
      <c r="P52" s="47">
        <f t="shared" ref="P52" ca="1" si="98">P43+P51</f>
        <v>14237.011223699472</v>
      </c>
      <c r="Q52" s="47">
        <f t="shared" ref="Q52" ca="1" si="99">Q43+Q51</f>
        <v>15371.68979672231</v>
      </c>
      <c r="R52" s="47">
        <f t="shared" ref="R52" ca="1" si="100">R43+R51</f>
        <v>16892.805237938643</v>
      </c>
    </row>
    <row r="53" spans="1:18">
      <c r="B53" s="131"/>
      <c r="C53" s="131"/>
      <c r="D53" s="131"/>
      <c r="E53" s="132"/>
      <c r="F53" s="131"/>
      <c r="G53" s="131"/>
      <c r="H53" s="141"/>
      <c r="I53" s="31"/>
      <c r="J53" s="31"/>
      <c r="K53" s="31"/>
      <c r="L53" s="31"/>
      <c r="M53" s="31"/>
      <c r="N53" s="31"/>
      <c r="O53" s="31"/>
      <c r="P53" s="31"/>
      <c r="Q53" s="31"/>
      <c r="R53" s="31"/>
    </row>
    <row r="54" spans="1:18">
      <c r="A54" s="58" t="s">
        <v>81</v>
      </c>
      <c r="B54" s="131"/>
      <c r="C54" s="131"/>
      <c r="D54" s="131"/>
      <c r="E54" s="132"/>
      <c r="F54" s="131"/>
      <c r="G54" s="131"/>
      <c r="H54" s="141"/>
      <c r="I54" s="31"/>
      <c r="J54" s="31"/>
      <c r="K54" s="31"/>
      <c r="L54" s="31"/>
      <c r="M54" s="31"/>
      <c r="N54" s="31"/>
      <c r="O54" s="31"/>
      <c r="P54" s="31"/>
      <c r="Q54" s="31"/>
      <c r="R54" s="31"/>
    </row>
    <row r="55" spans="1:18" outlineLevel="1">
      <c r="B55" s="131"/>
      <c r="C55" s="131"/>
      <c r="D55" s="131"/>
      <c r="E55" s="132"/>
      <c r="F55" s="131"/>
      <c r="G55" s="131"/>
      <c r="H55" s="141"/>
      <c r="I55" s="31"/>
      <c r="J55" s="31"/>
      <c r="K55" s="31"/>
      <c r="L55" s="31"/>
      <c r="M55" s="31"/>
      <c r="N55" s="31"/>
      <c r="O55" s="31"/>
      <c r="P55" s="31"/>
      <c r="Q55" s="31"/>
      <c r="R55" s="31"/>
    </row>
    <row r="56" spans="1:18" outlineLevel="1">
      <c r="A56" s="58" t="s">
        <v>82</v>
      </c>
      <c r="B56" s="131">
        <v>161</v>
      </c>
      <c r="C56" s="131">
        <v>140</v>
      </c>
      <c r="D56" s="131">
        <v>144</v>
      </c>
      <c r="E56" s="132">
        <v>156</v>
      </c>
      <c r="F56" s="131">
        <v>153</v>
      </c>
      <c r="G56" s="131">
        <v>117</v>
      </c>
      <c r="H56" s="141"/>
      <c r="I56" s="131"/>
      <c r="J56" s="131"/>
      <c r="K56" s="131"/>
      <c r="L56" s="131"/>
      <c r="M56" s="131"/>
      <c r="N56" s="131"/>
      <c r="O56" s="131"/>
      <c r="P56" s="131"/>
      <c r="Q56" s="131"/>
      <c r="R56" s="131"/>
    </row>
    <row r="57" spans="1:18" outlineLevel="1">
      <c r="A57" s="58" t="s">
        <v>83</v>
      </c>
      <c r="B57" s="131">
        <v>3</v>
      </c>
      <c r="C57" s="131">
        <v>35</v>
      </c>
      <c r="D57" s="131">
        <v>35</v>
      </c>
      <c r="E57" s="132">
        <v>38</v>
      </c>
      <c r="F57" s="131">
        <v>38</v>
      </c>
      <c r="G57" s="131">
        <v>36</v>
      </c>
      <c r="H57" s="141"/>
      <c r="I57" s="131">
        <f>G57</f>
        <v>36</v>
      </c>
      <c r="J57" s="131">
        <f>I57</f>
        <v>36</v>
      </c>
      <c r="K57" s="131">
        <f>J57</f>
        <v>36</v>
      </c>
      <c r="L57" s="131">
        <f t="shared" ref="L57:R57" si="101">K57</f>
        <v>36</v>
      </c>
      <c r="M57" s="131">
        <f t="shared" si="101"/>
        <v>36</v>
      </c>
      <c r="N57" s="131">
        <f t="shared" si="101"/>
        <v>36</v>
      </c>
      <c r="O57" s="131">
        <f t="shared" si="101"/>
        <v>36</v>
      </c>
      <c r="P57" s="131">
        <f t="shared" si="101"/>
        <v>36</v>
      </c>
      <c r="Q57" s="131">
        <f t="shared" si="101"/>
        <v>36</v>
      </c>
      <c r="R57" s="131">
        <f t="shared" si="101"/>
        <v>36</v>
      </c>
    </row>
    <row r="58" spans="1:18" outlineLevel="1">
      <c r="A58" s="58" t="s">
        <v>84</v>
      </c>
      <c r="B58" s="131">
        <v>619</v>
      </c>
      <c r="C58" s="131">
        <v>661</v>
      </c>
      <c r="D58" s="131">
        <v>844</v>
      </c>
      <c r="E58" s="132">
        <v>801</v>
      </c>
      <c r="F58" s="131">
        <v>810</v>
      </c>
      <c r="G58" s="131">
        <v>845</v>
      </c>
      <c r="H58" s="141"/>
      <c r="I58" s="131"/>
      <c r="J58" s="131"/>
      <c r="K58" s="131"/>
      <c r="L58" s="131"/>
      <c r="M58" s="131"/>
      <c r="N58" s="131"/>
      <c r="O58" s="131"/>
      <c r="P58" s="131"/>
      <c r="Q58" s="131"/>
      <c r="R58" s="131"/>
    </row>
    <row r="59" spans="1:18" outlineLevel="1">
      <c r="A59" s="58" t="s">
        <v>85</v>
      </c>
      <c r="B59" s="131">
        <v>0</v>
      </c>
      <c r="C59" s="131">
        <v>0</v>
      </c>
      <c r="D59" s="131">
        <v>3</v>
      </c>
      <c r="E59" s="132">
        <v>3</v>
      </c>
      <c r="F59" s="131">
        <v>4</v>
      </c>
      <c r="G59" s="131">
        <v>4</v>
      </c>
      <c r="H59" s="141"/>
      <c r="I59" s="131">
        <f>G59</f>
        <v>4</v>
      </c>
      <c r="J59" s="131">
        <f>I59</f>
        <v>4</v>
      </c>
      <c r="K59" s="131">
        <f t="shared" ref="K59:R59" si="102">J59</f>
        <v>4</v>
      </c>
      <c r="L59" s="131">
        <f t="shared" si="102"/>
        <v>4</v>
      </c>
      <c r="M59" s="131">
        <f t="shared" si="102"/>
        <v>4</v>
      </c>
      <c r="N59" s="131">
        <f t="shared" si="102"/>
        <v>4</v>
      </c>
      <c r="O59" s="131">
        <f t="shared" si="102"/>
        <v>4</v>
      </c>
      <c r="P59" s="131">
        <f t="shared" si="102"/>
        <v>4</v>
      </c>
      <c r="Q59" s="131">
        <f t="shared" si="102"/>
        <v>4</v>
      </c>
      <c r="R59" s="131">
        <f t="shared" si="102"/>
        <v>4</v>
      </c>
    </row>
    <row r="60" spans="1:18" outlineLevel="1">
      <c r="A60" s="58" t="s">
        <v>86</v>
      </c>
      <c r="B60" s="131">
        <f t="shared" ref="B60" si="103">SUM(B56:B59)</f>
        <v>783</v>
      </c>
      <c r="C60" s="131">
        <f>SUM(C56:C59)</f>
        <v>836</v>
      </c>
      <c r="D60" s="131">
        <f t="shared" ref="D60" si="104">SUM(D56:D59)</f>
        <v>1026</v>
      </c>
      <c r="E60" s="132">
        <f t="shared" ref="E60" si="105">SUM(E56:E59)</f>
        <v>998</v>
      </c>
      <c r="F60" s="131">
        <f t="shared" ref="F60" si="106">SUM(F56:F59)</f>
        <v>1005</v>
      </c>
      <c r="G60" s="131">
        <f t="shared" ref="G60" si="107">SUM(G56:G59)</f>
        <v>1002</v>
      </c>
      <c r="H60" s="141">
        <f t="shared" ref="H60" si="108">SUM(H56:H59)</f>
        <v>0</v>
      </c>
      <c r="I60" s="131" cm="1">
        <f t="array" aca="1" ref="I60" ca="1">-I9/INDEX(CLTurnover,I$1)</f>
        <v>3353.2857961454852</v>
      </c>
      <c r="J60" s="131" cm="1">
        <f t="array" aca="1" ref="J60" ca="1">-J9/INDEX(CLTurnover,J$1)</f>
        <v>4392.1382843921765</v>
      </c>
      <c r="K60" s="131" cm="1">
        <f t="array" aca="1" ref="K60" ca="1">-K9/INDEX(CLTurnover,K$1)</f>
        <v>5342.6336007495929</v>
      </c>
      <c r="L60" s="131" cm="1">
        <f t="array" aca="1" ref="L60" ca="1">-L9/INDEX(CLTurnover,L$1)</f>
        <v>6370.910566938549</v>
      </c>
      <c r="M60" s="131" cm="1">
        <f t="array" aca="1" ref="M60" ca="1">-M9/INDEX(CLTurnover,M$1)</f>
        <v>7027.2418863506091</v>
      </c>
      <c r="N60" s="131" cm="1">
        <f t="array" aca="1" ref="N60" ca="1">-N9/INDEX(CLTurnover,N$1)</f>
        <v>7615.2106273969266</v>
      </c>
      <c r="O60" s="131" cm="1">
        <f t="array" aca="1" ref="O60" ca="1">-O9/INDEX(CLTurnover,O$1)</f>
        <v>8050.5621055209867</v>
      </c>
      <c r="P60" s="131" cm="1">
        <f t="array" aca="1" ref="P60" ca="1">-P9/INDEX(CLTurnover,P$1)</f>
        <v>8306.609243548708</v>
      </c>
      <c r="Q60" s="131" cm="1">
        <f t="array" aca="1" ref="Q60" ca="1">-Q9/INDEX(CLTurnover,Q$1)</f>
        <v>8432.8364858552322</v>
      </c>
      <c r="R60" s="131" cm="1">
        <f t="array" aca="1" ref="R60" ca="1">-R9/INDEX(CLTurnover,R$1)</f>
        <v>8445.4288128734934</v>
      </c>
    </row>
    <row r="61" spans="1:18" outlineLevel="1">
      <c r="B61" s="131"/>
      <c r="C61" s="131"/>
      <c r="D61" s="131"/>
      <c r="E61" s="132"/>
      <c r="F61" s="131"/>
      <c r="G61" s="131"/>
      <c r="H61" s="141"/>
      <c r="I61" s="131"/>
      <c r="J61" s="131"/>
      <c r="K61" s="131"/>
      <c r="L61" s="131"/>
      <c r="M61" s="131"/>
      <c r="N61" s="131"/>
      <c r="O61" s="131"/>
      <c r="P61" s="131"/>
      <c r="Q61" s="131"/>
      <c r="R61" s="131"/>
    </row>
    <row r="62" spans="1:18" outlineLevel="1">
      <c r="A62" s="58" t="s">
        <v>82</v>
      </c>
      <c r="B62" s="131">
        <v>8440</v>
      </c>
      <c r="C62" s="131">
        <v>10878</v>
      </c>
      <c r="D62" s="131">
        <v>2031</v>
      </c>
      <c r="E62" s="132">
        <v>2082</v>
      </c>
      <c r="F62" s="131">
        <v>2015</v>
      </c>
      <c r="G62" s="131">
        <v>2004</v>
      </c>
      <c r="H62" s="141"/>
      <c r="I62" s="131">
        <f>G62</f>
        <v>2004</v>
      </c>
      <c r="J62" s="131">
        <f t="shared" ref="J62:R62" si="109">I62</f>
        <v>2004</v>
      </c>
      <c r="K62" s="131">
        <f t="shared" si="109"/>
        <v>2004</v>
      </c>
      <c r="L62" s="131">
        <f t="shared" si="109"/>
        <v>2004</v>
      </c>
      <c r="M62" s="131">
        <f t="shared" si="109"/>
        <v>2004</v>
      </c>
      <c r="N62" s="131">
        <f t="shared" si="109"/>
        <v>2004</v>
      </c>
      <c r="O62" s="131">
        <f t="shared" si="109"/>
        <v>2004</v>
      </c>
      <c r="P62" s="131">
        <f t="shared" si="109"/>
        <v>2004</v>
      </c>
      <c r="Q62" s="131">
        <f t="shared" si="109"/>
        <v>2004</v>
      </c>
      <c r="R62" s="131">
        <f t="shared" si="109"/>
        <v>2004</v>
      </c>
    </row>
    <row r="63" spans="1:18" outlineLevel="1">
      <c r="A63" s="58" t="s">
        <v>87</v>
      </c>
      <c r="B63" s="131">
        <v>6</v>
      </c>
      <c r="C63" s="131">
        <v>1</v>
      </c>
      <c r="D63" s="131">
        <v>3</v>
      </c>
      <c r="E63" s="132">
        <v>19</v>
      </c>
      <c r="F63" s="131">
        <v>19</v>
      </c>
      <c r="G63" s="131">
        <v>17</v>
      </c>
      <c r="H63" s="141"/>
      <c r="I63" s="131">
        <f>G63</f>
        <v>17</v>
      </c>
      <c r="J63" s="131">
        <f>I63</f>
        <v>17</v>
      </c>
      <c r="K63" s="131">
        <f t="shared" ref="K63:R63" si="110">J63</f>
        <v>17</v>
      </c>
      <c r="L63" s="131">
        <f t="shared" si="110"/>
        <v>17</v>
      </c>
      <c r="M63" s="131">
        <f t="shared" si="110"/>
        <v>17</v>
      </c>
      <c r="N63" s="131">
        <f t="shared" si="110"/>
        <v>17</v>
      </c>
      <c r="O63" s="131">
        <f t="shared" si="110"/>
        <v>17</v>
      </c>
      <c r="P63" s="131">
        <f t="shared" si="110"/>
        <v>17</v>
      </c>
      <c r="Q63" s="131">
        <f t="shared" si="110"/>
        <v>17</v>
      </c>
      <c r="R63" s="131">
        <f t="shared" si="110"/>
        <v>17</v>
      </c>
    </row>
    <row r="64" spans="1:18" outlineLevel="1">
      <c r="A64" s="58" t="s">
        <v>88</v>
      </c>
      <c r="B64" s="131">
        <v>19</v>
      </c>
      <c r="C64" s="131">
        <v>21</v>
      </c>
      <c r="D64" s="131">
        <v>99</v>
      </c>
      <c r="E64" s="132">
        <f>20+17+119</f>
        <v>156</v>
      </c>
      <c r="F64" s="131">
        <f>11+17+121</f>
        <v>149</v>
      </c>
      <c r="G64" s="131">
        <f>13+122+17</f>
        <v>152</v>
      </c>
      <c r="H64" s="141"/>
      <c r="I64" s="131">
        <f>G64</f>
        <v>152</v>
      </c>
      <c r="J64" s="131">
        <f t="shared" ref="J64:R64" si="111">I64</f>
        <v>152</v>
      </c>
      <c r="K64" s="131">
        <f t="shared" si="111"/>
        <v>152</v>
      </c>
      <c r="L64" s="131">
        <f t="shared" si="111"/>
        <v>152</v>
      </c>
      <c r="M64" s="131">
        <f t="shared" si="111"/>
        <v>152</v>
      </c>
      <c r="N64" s="131">
        <f t="shared" si="111"/>
        <v>152</v>
      </c>
      <c r="O64" s="131">
        <f t="shared" si="111"/>
        <v>152</v>
      </c>
      <c r="P64" s="131">
        <f t="shared" si="111"/>
        <v>152</v>
      </c>
      <c r="Q64" s="131">
        <f t="shared" si="111"/>
        <v>152</v>
      </c>
      <c r="R64" s="131">
        <f t="shared" si="111"/>
        <v>152</v>
      </c>
    </row>
    <row r="65" spans="1:18" outlineLevel="1">
      <c r="A65" s="58" t="s">
        <v>89</v>
      </c>
      <c r="B65" s="131">
        <f t="shared" ref="B65" si="112">SUM(B62:B64)</f>
        <v>8465</v>
      </c>
      <c r="C65" s="131">
        <f>SUM(C62:C64)</f>
        <v>10900</v>
      </c>
      <c r="D65" s="131">
        <f t="shared" ref="D65" si="113">SUM(D62:D64)</f>
        <v>2133</v>
      </c>
      <c r="E65" s="132">
        <f t="shared" ref="E65" si="114">SUM(E62:E64)</f>
        <v>2257</v>
      </c>
      <c r="F65" s="131">
        <f t="shared" ref="F65" si="115">SUM(F62:F64)</f>
        <v>2183</v>
      </c>
      <c r="G65" s="131">
        <f t="shared" ref="G65" si="116">SUM(G62:G64)</f>
        <v>2173</v>
      </c>
      <c r="H65" s="141">
        <f t="shared" ref="H65" si="117">SUM(H62:H64)</f>
        <v>0</v>
      </c>
      <c r="I65" s="131">
        <f>SUM(I62:I64)</f>
        <v>2173</v>
      </c>
      <c r="J65" s="131">
        <f t="shared" ref="J65" si="118">SUM(J62:J64)</f>
        <v>2173</v>
      </c>
      <c r="K65" s="131">
        <f t="shared" ref="K65" si="119">SUM(K62:K64)</f>
        <v>2173</v>
      </c>
      <c r="L65" s="131">
        <f t="shared" ref="L65" si="120">SUM(L62:L64)</f>
        <v>2173</v>
      </c>
      <c r="M65" s="131">
        <f t="shared" ref="M65" si="121">SUM(M62:M64)</f>
        <v>2173</v>
      </c>
      <c r="N65" s="131">
        <f t="shared" ref="N65" si="122">SUM(N62:N64)</f>
        <v>2173</v>
      </c>
      <c r="O65" s="131">
        <f t="shared" ref="O65" si="123">SUM(O62:O64)</f>
        <v>2173</v>
      </c>
      <c r="P65" s="131">
        <f t="shared" ref="P65" si="124">SUM(P62:P64)</f>
        <v>2173</v>
      </c>
      <c r="Q65" s="131">
        <f t="shared" ref="Q65" si="125">SUM(Q62:Q64)</f>
        <v>2173</v>
      </c>
      <c r="R65" s="131">
        <f t="shared" ref="R65" si="126">SUM(R62:R64)</f>
        <v>2173</v>
      </c>
    </row>
    <row r="66" spans="1:18" outlineLevel="1">
      <c r="B66" s="131"/>
      <c r="C66" s="131"/>
      <c r="D66" s="131"/>
      <c r="E66" s="132"/>
      <c r="F66" s="131"/>
      <c r="G66" s="131"/>
      <c r="H66" s="141"/>
      <c r="I66" s="131"/>
      <c r="J66" s="131"/>
      <c r="K66" s="131"/>
      <c r="L66" s="131"/>
      <c r="M66" s="131"/>
      <c r="N66" s="131"/>
      <c r="O66" s="131"/>
      <c r="P66" s="131"/>
      <c r="Q66" s="131"/>
      <c r="R66" s="131"/>
    </row>
    <row r="67" spans="1:18" outlineLevel="1">
      <c r="A67" s="58" t="s">
        <v>90</v>
      </c>
      <c r="B67" s="131">
        <f>B60+B65</f>
        <v>9248</v>
      </c>
      <c r="C67" s="131">
        <f>C60+C65</f>
        <v>11736</v>
      </c>
      <c r="D67" s="131">
        <f>D60+D65</f>
        <v>3159</v>
      </c>
      <c r="E67" s="132">
        <f t="shared" ref="E67:G67" si="127">E60+E65</f>
        <v>3255</v>
      </c>
      <c r="F67" s="131">
        <f t="shared" si="127"/>
        <v>3188</v>
      </c>
      <c r="G67" s="131">
        <f t="shared" si="127"/>
        <v>3175</v>
      </c>
      <c r="H67" s="141">
        <f t="shared" ref="H67:R67" si="128">H60+H65</f>
        <v>0</v>
      </c>
      <c r="I67" s="131">
        <f t="shared" ca="1" si="128"/>
        <v>5526.2857961454847</v>
      </c>
      <c r="J67" s="131">
        <f t="shared" ca="1" si="128"/>
        <v>6565.1382843921765</v>
      </c>
      <c r="K67" s="131">
        <f t="shared" ca="1" si="128"/>
        <v>7515.6336007495929</v>
      </c>
      <c r="L67" s="131">
        <f t="shared" ca="1" si="128"/>
        <v>8543.9105669385499</v>
      </c>
      <c r="M67" s="131">
        <f t="shared" ca="1" si="128"/>
        <v>9200.24188635061</v>
      </c>
      <c r="N67" s="131">
        <f t="shared" ca="1" si="128"/>
        <v>9788.2106273969257</v>
      </c>
      <c r="O67" s="131">
        <f t="shared" ca="1" si="128"/>
        <v>10223.562105520987</v>
      </c>
      <c r="P67" s="131">
        <f t="shared" ca="1" si="128"/>
        <v>10479.609243548708</v>
      </c>
      <c r="Q67" s="131">
        <f t="shared" ca="1" si="128"/>
        <v>10605.836485855232</v>
      </c>
      <c r="R67" s="131">
        <f t="shared" ca="1" si="128"/>
        <v>10618.428812873493</v>
      </c>
    </row>
    <row r="68" spans="1:18">
      <c r="B68" s="131"/>
      <c r="C68" s="131"/>
      <c r="D68" s="131"/>
      <c r="E68" s="132"/>
      <c r="F68" s="131"/>
      <c r="G68" s="131"/>
      <c r="H68" s="141"/>
      <c r="I68" s="31"/>
      <c r="J68" s="31"/>
      <c r="K68" s="31"/>
      <c r="L68" s="31"/>
      <c r="M68" s="31"/>
      <c r="N68" s="31"/>
      <c r="O68" s="31"/>
      <c r="P68" s="31"/>
      <c r="Q68" s="31"/>
      <c r="R68" s="31"/>
    </row>
    <row r="69" spans="1:18">
      <c r="A69" s="58" t="s">
        <v>91</v>
      </c>
      <c r="B69" s="131"/>
      <c r="C69" s="131"/>
      <c r="D69" s="131"/>
      <c r="E69" s="132"/>
      <c r="F69" s="131"/>
      <c r="G69" s="131"/>
      <c r="H69" s="141"/>
      <c r="I69" s="31"/>
      <c r="J69" s="31"/>
      <c r="K69" s="31"/>
      <c r="L69" s="31"/>
      <c r="M69" s="31"/>
      <c r="N69" s="31"/>
      <c r="O69" s="31"/>
      <c r="P69" s="31"/>
      <c r="Q69" s="31"/>
      <c r="R69" s="31"/>
    </row>
    <row r="70" spans="1:18" outlineLevel="1">
      <c r="B70" s="131"/>
      <c r="C70" s="131"/>
      <c r="D70" s="131"/>
      <c r="E70" s="132"/>
      <c r="F70" s="131"/>
      <c r="G70" s="131"/>
      <c r="H70" s="141"/>
      <c r="I70" s="31"/>
      <c r="J70" s="31"/>
      <c r="K70" s="31"/>
      <c r="L70" s="31"/>
      <c r="M70" s="31"/>
      <c r="N70" s="31"/>
      <c r="O70" s="31"/>
      <c r="P70" s="31"/>
      <c r="Q70" s="31"/>
      <c r="R70" s="31"/>
    </row>
    <row r="71" spans="1:18" outlineLevel="1">
      <c r="A71" s="58" t="s">
        <v>92</v>
      </c>
      <c r="B71" s="131">
        <v>79</v>
      </c>
      <c r="C71" s="131">
        <v>140</v>
      </c>
      <c r="D71" s="131">
        <v>21529</v>
      </c>
      <c r="E71" s="132">
        <v>22072</v>
      </c>
      <c r="F71" s="131">
        <v>22232</v>
      </c>
      <c r="G71" s="131">
        <v>22250</v>
      </c>
      <c r="H71" s="141"/>
      <c r="I71" s="131">
        <f>G71</f>
        <v>22250</v>
      </c>
      <c r="J71" s="131">
        <f>I71</f>
        <v>22250</v>
      </c>
      <c r="K71" s="131">
        <f>J71</f>
        <v>22250</v>
      </c>
      <c r="L71" s="131">
        <f t="shared" ref="L71:R71" si="129">K71</f>
        <v>22250</v>
      </c>
      <c r="M71" s="131">
        <f>L71</f>
        <v>22250</v>
      </c>
      <c r="N71" s="131">
        <f>M71</f>
        <v>22250</v>
      </c>
      <c r="O71" s="131">
        <f t="shared" si="129"/>
        <v>22250</v>
      </c>
      <c r="P71" s="131">
        <f t="shared" si="129"/>
        <v>22250</v>
      </c>
      <c r="Q71" s="131">
        <f t="shared" si="129"/>
        <v>22250</v>
      </c>
      <c r="R71" s="131">
        <f t="shared" si="129"/>
        <v>22250</v>
      </c>
    </row>
    <row r="72" spans="1:18" outlineLevel="1">
      <c r="A72" s="58" t="s">
        <v>66</v>
      </c>
      <c r="B72" s="135">
        <v>-4370</v>
      </c>
      <c r="C72" s="135">
        <v>-6539</v>
      </c>
      <c r="D72" s="135">
        <v>-13796</v>
      </c>
      <c r="E72" s="279">
        <f>532-14974</f>
        <v>-14442</v>
      </c>
      <c r="F72" s="135">
        <f>452-15533</f>
        <v>-15081</v>
      </c>
      <c r="G72" s="135">
        <f>475-15879</f>
        <v>-15404</v>
      </c>
      <c r="H72" s="143"/>
      <c r="I72" s="135">
        <f ca="1">D72+I34</f>
        <v>-15121.155523265497</v>
      </c>
      <c r="J72" s="135">
        <f ca="1">I72+J34</f>
        <v>-16372.023410062387</v>
      </c>
      <c r="K72" s="135">
        <f t="shared" ref="K72:R72" ca="1" si="130">J72+K34</f>
        <v>-17497.350054401119</v>
      </c>
      <c r="L72" s="135">
        <f t="shared" ca="1" si="130"/>
        <v>-18396.392319644892</v>
      </c>
      <c r="M72" s="135">
        <f t="shared" ca="1" si="130"/>
        <v>-19021.268001710239</v>
      </c>
      <c r="N72" s="135">
        <f t="shared" ca="1" si="130"/>
        <v>-19268.581130519513</v>
      </c>
      <c r="O72" s="135">
        <f t="shared" ca="1" si="130"/>
        <v>-19101.200403569321</v>
      </c>
      <c r="P72" s="135">
        <f t="shared" ca="1" si="130"/>
        <v>-18538.598019849236</v>
      </c>
      <c r="Q72" s="135">
        <f t="shared" ca="1" si="130"/>
        <v>-17530.146689132922</v>
      </c>
      <c r="R72" s="135">
        <f t="shared" ca="1" si="130"/>
        <v>-16021.623574934849</v>
      </c>
    </row>
    <row r="73" spans="1:18" outlineLevel="1">
      <c r="A73" s="58" t="s">
        <v>93</v>
      </c>
      <c r="B73" s="131">
        <v>67</v>
      </c>
      <c r="C73" s="131">
        <v>105</v>
      </c>
      <c r="D73" s="131">
        <v>286</v>
      </c>
      <c r="E73" s="132">
        <v>46</v>
      </c>
      <c r="F73" s="131">
        <v>15</v>
      </c>
      <c r="G73" s="131">
        <v>46</v>
      </c>
      <c r="H73" s="141"/>
      <c r="I73" s="131">
        <f>G73</f>
        <v>46</v>
      </c>
      <c r="J73" s="131">
        <f>I73</f>
        <v>46</v>
      </c>
      <c r="K73" s="131">
        <f t="shared" ref="K73:R73" si="131">J73</f>
        <v>46</v>
      </c>
      <c r="L73" s="131">
        <f t="shared" si="131"/>
        <v>46</v>
      </c>
      <c r="M73" s="131">
        <f t="shared" si="131"/>
        <v>46</v>
      </c>
      <c r="N73" s="131">
        <f t="shared" si="131"/>
        <v>46</v>
      </c>
      <c r="O73" s="131">
        <f t="shared" si="131"/>
        <v>46</v>
      </c>
      <c r="P73" s="131">
        <f t="shared" si="131"/>
        <v>46</v>
      </c>
      <c r="Q73" s="131">
        <f t="shared" si="131"/>
        <v>46</v>
      </c>
      <c r="R73" s="131">
        <f t="shared" si="131"/>
        <v>46</v>
      </c>
    </row>
    <row r="74" spans="1:18" outlineLevel="1">
      <c r="A74" s="58" t="s">
        <v>94</v>
      </c>
      <c r="B74" s="135">
        <f t="shared" ref="B74:G74" si="132">SUM(B71:B73)</f>
        <v>-4224</v>
      </c>
      <c r="C74" s="135">
        <f t="shared" si="132"/>
        <v>-6294</v>
      </c>
      <c r="D74" s="135">
        <f t="shared" si="132"/>
        <v>8019</v>
      </c>
      <c r="E74" s="279">
        <f t="shared" si="132"/>
        <v>7676</v>
      </c>
      <c r="F74" s="135">
        <f t="shared" si="132"/>
        <v>7166</v>
      </c>
      <c r="G74" s="135">
        <f t="shared" si="132"/>
        <v>6892</v>
      </c>
      <c r="H74" s="143">
        <f t="shared" ref="H74:R74" si="133">SUM(H71:H73)</f>
        <v>0</v>
      </c>
      <c r="I74" s="135">
        <f t="shared" ca="1" si="133"/>
        <v>7174.8444767345027</v>
      </c>
      <c r="J74" s="135">
        <f t="shared" ca="1" si="133"/>
        <v>5923.9765899376125</v>
      </c>
      <c r="K74" s="135">
        <f t="shared" ca="1" si="133"/>
        <v>4798.6499455988815</v>
      </c>
      <c r="L74" s="135">
        <f t="shared" ca="1" si="133"/>
        <v>3899.6076803551077</v>
      </c>
      <c r="M74" s="135">
        <f t="shared" ca="1" si="133"/>
        <v>3274.7319982897607</v>
      </c>
      <c r="N74" s="135">
        <f t="shared" ca="1" si="133"/>
        <v>3027.418869480487</v>
      </c>
      <c r="O74" s="135">
        <f t="shared" ca="1" si="133"/>
        <v>3194.7995964306792</v>
      </c>
      <c r="P74" s="135">
        <f t="shared" ca="1" si="133"/>
        <v>3757.4019801507638</v>
      </c>
      <c r="Q74" s="135">
        <f t="shared" ca="1" si="133"/>
        <v>4765.8533108670781</v>
      </c>
      <c r="R74" s="135">
        <f t="shared" ca="1" si="133"/>
        <v>6274.3764250651511</v>
      </c>
    </row>
    <row r="75" spans="1:18" outlineLevel="1">
      <c r="B75" s="131"/>
      <c r="C75" s="131"/>
      <c r="D75" s="131"/>
      <c r="E75" s="132"/>
      <c r="F75" s="131"/>
      <c r="G75" s="131"/>
      <c r="H75" s="141"/>
      <c r="I75" s="31"/>
      <c r="J75" s="31"/>
      <c r="K75" s="31"/>
      <c r="L75" s="31"/>
      <c r="M75" s="31"/>
      <c r="N75" s="31"/>
      <c r="O75" s="31"/>
      <c r="P75" s="31"/>
      <c r="Q75" s="31"/>
      <c r="R75" s="31"/>
    </row>
    <row r="76" spans="1:18" outlineLevel="1">
      <c r="A76" s="58" t="s">
        <v>95</v>
      </c>
      <c r="B76" s="133">
        <f t="shared" ref="B76:G76" si="134">B67+B74</f>
        <v>5024</v>
      </c>
      <c r="C76" s="133">
        <f t="shared" si="134"/>
        <v>5442</v>
      </c>
      <c r="D76" s="133">
        <f t="shared" si="134"/>
        <v>11178</v>
      </c>
      <c r="E76" s="134">
        <f t="shared" si="134"/>
        <v>10931</v>
      </c>
      <c r="F76" s="133">
        <f t="shared" si="134"/>
        <v>10354</v>
      </c>
      <c r="G76" s="133">
        <f t="shared" si="134"/>
        <v>10067</v>
      </c>
      <c r="H76" s="142">
        <f t="shared" ref="H76" si="135">H67+H74</f>
        <v>0</v>
      </c>
      <c r="I76" s="47">
        <f t="shared" ref="I76:R76" ca="1" si="136">I74+I67</f>
        <v>12701.130272879987</v>
      </c>
      <c r="J76" s="47">
        <f t="shared" ca="1" si="136"/>
        <v>12489.114874329789</v>
      </c>
      <c r="K76" s="47">
        <f t="shared" ca="1" si="136"/>
        <v>12314.283546348473</v>
      </c>
      <c r="L76" s="47">
        <f t="shared" ca="1" si="136"/>
        <v>12443.518247293658</v>
      </c>
      <c r="M76" s="47">
        <f t="shared" ca="1" si="136"/>
        <v>12474.973884640371</v>
      </c>
      <c r="N76" s="47">
        <f t="shared" ca="1" si="136"/>
        <v>12815.629496877413</v>
      </c>
      <c r="O76" s="47">
        <f t="shared" ca="1" si="136"/>
        <v>13418.361701951666</v>
      </c>
      <c r="P76" s="47">
        <f t="shared" ca="1" si="136"/>
        <v>14237.011223699472</v>
      </c>
      <c r="Q76" s="47">
        <f t="shared" ca="1" si="136"/>
        <v>15371.68979672231</v>
      </c>
      <c r="R76" s="47">
        <f t="shared" ca="1" si="136"/>
        <v>16892.805237938643</v>
      </c>
    </row>
    <row r="77" spans="1:18">
      <c r="B77" s="136"/>
      <c r="C77" s="136"/>
      <c r="D77" s="136"/>
      <c r="E77" s="137"/>
      <c r="F77" s="136"/>
      <c r="G77" s="136"/>
      <c r="H77" s="141"/>
      <c r="I77" s="31"/>
      <c r="J77" s="31"/>
      <c r="K77" s="31"/>
      <c r="L77" s="31"/>
      <c r="M77" s="31"/>
      <c r="N77" s="31"/>
      <c r="O77" s="31"/>
      <c r="P77" s="31"/>
      <c r="Q77" s="31"/>
      <c r="R77" s="31"/>
    </row>
    <row r="78" spans="1:18">
      <c r="A78" s="58" t="s">
        <v>96</v>
      </c>
      <c r="B78" s="136"/>
      <c r="C78" s="136"/>
      <c r="D78" s="136"/>
      <c r="E78" s="137"/>
      <c r="F78" s="136"/>
      <c r="G78" s="136"/>
      <c r="H78" s="141"/>
      <c r="I78" s="31"/>
      <c r="J78" s="31"/>
      <c r="K78" s="31"/>
      <c r="L78" s="31"/>
      <c r="M78" s="31"/>
      <c r="N78" s="31"/>
      <c r="O78" s="31"/>
      <c r="P78" s="31"/>
      <c r="Q78" s="31"/>
      <c r="R78" s="31"/>
    </row>
    <row r="79" spans="1:18" outlineLevel="1">
      <c r="A79" s="58" t="s">
        <v>97</v>
      </c>
      <c r="B79" s="131">
        <f t="shared" ref="B79:G79" si="137">B45-B80</f>
        <v>621</v>
      </c>
      <c r="C79" s="131">
        <f t="shared" si="137"/>
        <v>619</v>
      </c>
      <c r="D79" s="131">
        <f t="shared" si="137"/>
        <v>785</v>
      </c>
      <c r="E79" s="132">
        <f t="shared" si="137"/>
        <v>882</v>
      </c>
      <c r="F79" s="131">
        <f t="shared" si="137"/>
        <v>900</v>
      </c>
      <c r="G79" s="131">
        <f t="shared" si="137"/>
        <v>910</v>
      </c>
      <c r="H79" s="144"/>
      <c r="I79" s="131">
        <f t="shared" ref="I79:R79" ca="1" si="138">I45-I80</f>
        <v>963.3086042286543</v>
      </c>
      <c r="J79" s="131">
        <f t="shared" ca="1" si="138"/>
        <v>1232.1247682494786</v>
      </c>
      <c r="K79" s="131">
        <f t="shared" ca="1" si="138"/>
        <v>1516.4344935258023</v>
      </c>
      <c r="L79" s="131">
        <f t="shared" ca="1" si="138"/>
        <v>1841.8040700304255</v>
      </c>
      <c r="M79" s="131">
        <f t="shared" ca="1" si="138"/>
        <v>2189.5449613864239</v>
      </c>
      <c r="N79" s="131">
        <f t="shared" ca="1" si="138"/>
        <v>2598.4407950656478</v>
      </c>
      <c r="O79" s="131">
        <f t="shared" ca="1" si="138"/>
        <v>3043.093564179931</v>
      </c>
      <c r="P79" s="131">
        <f t="shared" ca="1" si="138"/>
        <v>3517.3505479485957</v>
      </c>
      <c r="Q79" s="131">
        <f t="shared" ca="1" si="138"/>
        <v>4027.9826228393822</v>
      </c>
      <c r="R79" s="131">
        <f t="shared" ca="1" si="138"/>
        <v>4590.0325939051654</v>
      </c>
    </row>
    <row r="80" spans="1:18" outlineLevel="1">
      <c r="A80" s="58" t="s">
        <v>98</v>
      </c>
      <c r="B80" s="131">
        <f>B22</f>
        <v>-109</v>
      </c>
      <c r="C80" s="131">
        <f>B80+C22</f>
        <v>-235</v>
      </c>
      <c r="D80" s="131">
        <f t="shared" ref="D80:H80" si="139">C80+D22</f>
        <v>-344</v>
      </c>
      <c r="E80" s="132">
        <f t="shared" si="139"/>
        <v>-374</v>
      </c>
      <c r="F80" s="131">
        <f t="shared" si="139"/>
        <v>-406</v>
      </c>
      <c r="G80" s="131">
        <f t="shared" si="139"/>
        <v>-440</v>
      </c>
      <c r="H80" s="144">
        <f t="shared" ca="1" si="139"/>
        <v>-475.12314531714907</v>
      </c>
      <c r="I80" s="131">
        <f ca="1">D80+I22</f>
        <v>-475.12314531714907</v>
      </c>
      <c r="J80" s="131">
        <f ca="1">J22+I80</f>
        <v>-592.82305370069184</v>
      </c>
      <c r="K80" s="131">
        <f t="shared" ref="K80:R80" ca="1" si="140">K22+J80</f>
        <v>-739.70812469733391</v>
      </c>
      <c r="L80" s="131">
        <f t="shared" ca="1" si="140"/>
        <v>-918.76990543042587</v>
      </c>
      <c r="M80" s="131">
        <f t="shared" ca="1" si="140"/>
        <v>-1133.4207176917748</v>
      </c>
      <c r="N80" s="131">
        <f t="shared" ca="1" si="140"/>
        <v>-1387.8332353388373</v>
      </c>
      <c r="O80" s="131">
        <f t="shared" ca="1" si="140"/>
        <v>-1687.157107469613</v>
      </c>
      <c r="P80" s="131">
        <f t="shared" ca="1" si="140"/>
        <v>-2034.9058196760002</v>
      </c>
      <c r="Q80" s="131">
        <f t="shared" ca="1" si="140"/>
        <v>-2434.711796469936</v>
      </c>
      <c r="R80" s="131">
        <f t="shared" ca="1" si="140"/>
        <v>-2891.2748897248698</v>
      </c>
    </row>
    <row r="81" spans="1:22" outlineLevel="1">
      <c r="B81" s="136"/>
      <c r="C81" s="136"/>
      <c r="D81" s="136"/>
      <c r="E81" s="137"/>
      <c r="F81" s="136"/>
      <c r="G81" s="136"/>
      <c r="H81" s="141"/>
      <c r="I81" s="136"/>
      <c r="J81" s="136"/>
      <c r="K81" s="136"/>
      <c r="L81" s="136"/>
      <c r="M81" s="136"/>
      <c r="N81" s="136"/>
      <c r="O81" s="136"/>
      <c r="P81" s="136"/>
      <c r="Q81" s="136"/>
      <c r="R81" s="136"/>
    </row>
    <row r="82" spans="1:22" outlineLevel="1">
      <c r="A82" s="58" t="s">
        <v>99</v>
      </c>
      <c r="B82" s="131">
        <f t="shared" ref="B82:G82" si="141">B46-B83</f>
        <v>1740</v>
      </c>
      <c r="C82" s="131">
        <f t="shared" si="141"/>
        <v>1712</v>
      </c>
      <c r="D82" s="131">
        <f t="shared" si="141"/>
        <v>1710</v>
      </c>
      <c r="E82" s="132">
        <f t="shared" si="141"/>
        <v>1944</v>
      </c>
      <c r="F82" s="131">
        <f t="shared" si="141"/>
        <v>1949</v>
      </c>
      <c r="G82" s="131">
        <f t="shared" si="141"/>
        <v>1952</v>
      </c>
      <c r="H82" s="144"/>
      <c r="I82" s="131">
        <f t="shared" ref="I82:R82" ca="1" si="142">I46-I83</f>
        <v>1959.2485705680124</v>
      </c>
      <c r="J82" s="131">
        <f t="shared" ca="1" si="142"/>
        <v>1992.8948960583916</v>
      </c>
      <c r="K82" s="131">
        <f t="shared" ca="1" si="142"/>
        <v>2031.0626778912988</v>
      </c>
      <c r="L82" s="131">
        <f t="shared" ca="1" si="142"/>
        <v>2074.6090383249993</v>
      </c>
      <c r="M82" s="131">
        <f t="shared" ca="1" si="142"/>
        <v>2122.082259475806</v>
      </c>
      <c r="N82" s="131">
        <f t="shared" ca="1" si="142"/>
        <v>2174.5239102475607</v>
      </c>
      <c r="O82" s="131">
        <f t="shared" ca="1" si="142"/>
        <v>2231.3824846729335</v>
      </c>
      <c r="P82" s="131">
        <f t="shared" ca="1" si="142"/>
        <v>2292.0651389267064</v>
      </c>
      <c r="Q82" s="131">
        <f t="shared" ca="1" si="142"/>
        <v>2357.3039567663163</v>
      </c>
      <c r="R82" s="131">
        <f t="shared" ca="1" si="142"/>
        <v>2427.4992554018158</v>
      </c>
    </row>
    <row r="83" spans="1:22" ht="15.75" outlineLevel="1" thickBot="1">
      <c r="A83" s="58" t="s">
        <v>100</v>
      </c>
      <c r="B83" s="131">
        <f>B23</f>
        <v>-538</v>
      </c>
      <c r="C83" s="131">
        <f>B83+C23</f>
        <v>-799</v>
      </c>
      <c r="D83" s="131">
        <f t="shared" ref="D83:H83" si="143">C83+D23</f>
        <v>-1035</v>
      </c>
      <c r="E83" s="138">
        <f t="shared" si="143"/>
        <v>-1039</v>
      </c>
      <c r="F83" s="139">
        <f t="shared" si="143"/>
        <v>-1044</v>
      </c>
      <c r="G83" s="139">
        <f t="shared" si="143"/>
        <v>-1048</v>
      </c>
      <c r="H83" s="145">
        <f t="shared" ca="1" si="143"/>
        <v>-1055.2485705680122</v>
      </c>
      <c r="I83" s="131">
        <f ca="1">D83+I23</f>
        <v>-1055.2485705680122</v>
      </c>
      <c r="J83" s="131">
        <f ca="1">I83+J23</f>
        <v>-1080.773854831318</v>
      </c>
      <c r="K83" s="131">
        <f t="shared" ref="K83:R83" ca="1" si="144">J83+K23</f>
        <v>-1110.5857617886368</v>
      </c>
      <c r="L83" s="131">
        <f t="shared" ca="1" si="144"/>
        <v>-1145.127714575314</v>
      </c>
      <c r="M83" s="131">
        <f t="shared" ca="1" si="144"/>
        <v>-1184.2659410648741</v>
      </c>
      <c r="N83" s="131">
        <f t="shared" ca="1" si="144"/>
        <v>-1228.2463908948923</v>
      </c>
      <c r="O83" s="131">
        <f t="shared" ca="1" si="144"/>
        <v>-1277.0821227541421</v>
      </c>
      <c r="P83" s="131">
        <f t="shared" ca="1" si="144"/>
        <v>-1330.5948554676932</v>
      </c>
      <c r="Q83" s="131">
        <f t="shared" ca="1" si="144"/>
        <v>-1388.9015041258608</v>
      </c>
      <c r="R83" s="131">
        <f t="shared" ca="1" si="144"/>
        <v>-1452.2282316901844</v>
      </c>
    </row>
    <row r="85" spans="1:22" s="49" customFormat="1">
      <c r="A85" s="62" t="s">
        <v>101</v>
      </c>
      <c r="D85" s="19"/>
      <c r="I85" s="19"/>
      <c r="J85" s="19"/>
      <c r="K85" s="19"/>
      <c r="L85" s="19"/>
      <c r="M85" s="19"/>
      <c r="N85" s="50"/>
      <c r="S85"/>
      <c r="T85"/>
    </row>
    <row r="86" spans="1:22">
      <c r="A86" s="58" t="s">
        <v>64</v>
      </c>
      <c r="B86"/>
      <c r="D86" s="51"/>
      <c r="I86" s="31">
        <f ca="1">I32</f>
        <v>-1325.1555232654975</v>
      </c>
      <c r="J86" s="31">
        <f t="shared" ref="J86:R86" ca="1" si="145">J32</f>
        <v>-1250.8678867968908</v>
      </c>
      <c r="K86" s="31">
        <f t="shared" ca="1" si="145"/>
        <v>-1125.3266443387324</v>
      </c>
      <c r="L86" s="31">
        <f ca="1">L32</f>
        <v>-899.04226524377259</v>
      </c>
      <c r="M86" s="31">
        <f t="shared" ca="1" si="145"/>
        <v>-624.87568206534706</v>
      </c>
      <c r="N86" s="31">
        <f t="shared" ca="1" si="145"/>
        <v>-247.31312880927203</v>
      </c>
      <c r="O86" s="31">
        <f t="shared" ca="1" si="145"/>
        <v>183.9348647804317</v>
      </c>
      <c r="P86" s="31">
        <f t="shared" ca="1" si="145"/>
        <v>618.24437771437738</v>
      </c>
      <c r="Q86" s="31">
        <f t="shared" ca="1" si="145"/>
        <v>1108.1882755124338</v>
      </c>
      <c r="R86" s="31">
        <f t="shared" ca="1" si="145"/>
        <v>1657.7177079099706</v>
      </c>
      <c r="T86" s="2"/>
      <c r="V86" s="31"/>
    </row>
    <row r="87" spans="1:22">
      <c r="A87" s="63" t="s">
        <v>102</v>
      </c>
      <c r="B87"/>
      <c r="D87" s="51"/>
      <c r="I87" s="31">
        <f t="shared" ref="I87:R87" ca="1" si="146">-I22-I23</f>
        <v>151.37171588516128</v>
      </c>
      <c r="J87" s="31">
        <f t="shared" ca="1" si="146"/>
        <v>143.22519264684854</v>
      </c>
      <c r="K87" s="31">
        <f t="shared" ca="1" si="146"/>
        <v>176.69697795396098</v>
      </c>
      <c r="L87" s="31">
        <f t="shared" ca="1" si="146"/>
        <v>213.60373351976915</v>
      </c>
      <c r="M87" s="31">
        <f t="shared" ca="1" si="146"/>
        <v>253.78903875090924</v>
      </c>
      <c r="N87" s="31">
        <f t="shared" ca="1" si="146"/>
        <v>298.3929674770805</v>
      </c>
      <c r="O87" s="31">
        <f t="shared" ca="1" si="146"/>
        <v>348.15960399002557</v>
      </c>
      <c r="P87" s="31">
        <f t="shared" ca="1" si="146"/>
        <v>401.2614449199383</v>
      </c>
      <c r="Q87" s="31">
        <f t="shared" ca="1" si="146"/>
        <v>458.1126254521036</v>
      </c>
      <c r="R87" s="31">
        <f t="shared" ca="1" si="146"/>
        <v>519.88982081925747</v>
      </c>
      <c r="T87" s="2"/>
      <c r="V87" s="31"/>
    </row>
    <row r="88" spans="1:22">
      <c r="A88" s="63" t="s">
        <v>103</v>
      </c>
      <c r="B88"/>
      <c r="D88" s="51"/>
      <c r="G88" s="56"/>
      <c r="I88" s="31">
        <f ca="1">-(SUM(I39:I42)-SUM(D39:D42))</f>
        <v>-1005.8037696636602</v>
      </c>
      <c r="J88" s="31">
        <f t="shared" ref="J88:R88" ca="1" si="147">-(SUM(J39:J42)-SUM(I39:I42))</f>
        <v>-76.25469270375379</v>
      </c>
      <c r="K88" s="31">
        <f t="shared" ca="1" si="147"/>
        <v>-76.620713740412612</v>
      </c>
      <c r="L88" s="31">
        <f t="shared" ca="1" si="147"/>
        <v>-82.560247259172684</v>
      </c>
      <c r="M88" s="31">
        <f t="shared" ca="1" si="147"/>
        <v>-71.391652461347803</v>
      </c>
      <c r="N88" s="31">
        <f t="shared" ca="1" si="147"/>
        <v>-70.785780880798484</v>
      </c>
      <c r="O88" s="31">
        <f t="shared" ca="1" si="147"/>
        <v>-64.122657696834722</v>
      </c>
      <c r="P88" s="31">
        <f t="shared" ca="1" si="147"/>
        <v>-54.72605676688454</v>
      </c>
      <c r="Q88" s="31">
        <f t="shared" ca="1" si="147"/>
        <v>-50.136381980877559</v>
      </c>
      <c r="R88" s="31">
        <f t="shared" ca="1" si="147"/>
        <v>-47.193187756424777</v>
      </c>
      <c r="T88" s="2"/>
      <c r="V88" s="31"/>
    </row>
    <row r="89" spans="1:22">
      <c r="A89" s="63" t="s">
        <v>104</v>
      </c>
      <c r="B89"/>
      <c r="D89" s="51"/>
      <c r="I89" s="31">
        <f ca="1">I60-D60</f>
        <v>2327.2857961454852</v>
      </c>
      <c r="J89" s="31">
        <f t="shared" ref="J89:R89" ca="1" si="148">J60-I60</f>
        <v>1038.8524882466913</v>
      </c>
      <c r="K89" s="31">
        <f t="shared" ca="1" si="148"/>
        <v>950.49531635741641</v>
      </c>
      <c r="L89" s="31">
        <f t="shared" ca="1" si="148"/>
        <v>1028.2769661889561</v>
      </c>
      <c r="M89" s="31">
        <f t="shared" ca="1" si="148"/>
        <v>656.33131941206011</v>
      </c>
      <c r="N89" s="31">
        <f t="shared" ca="1" si="148"/>
        <v>587.96874104631752</v>
      </c>
      <c r="O89" s="31">
        <f t="shared" ca="1" si="148"/>
        <v>435.35147812406012</v>
      </c>
      <c r="P89" s="31">
        <f t="shared" ca="1" si="148"/>
        <v>256.0471380277213</v>
      </c>
      <c r="Q89" s="31">
        <f t="shared" ca="1" si="148"/>
        <v>126.2272423065242</v>
      </c>
      <c r="R89" s="31">
        <f t="shared" ca="1" si="148"/>
        <v>12.59232701826113</v>
      </c>
      <c r="T89" s="2"/>
      <c r="V89" s="31"/>
    </row>
    <row r="90" spans="1:22">
      <c r="A90" s="63" t="s">
        <v>105</v>
      </c>
      <c r="B90"/>
      <c r="D90" s="51"/>
      <c r="I90" s="31">
        <f ca="1">-(I79-D79+I82-D82)</f>
        <v>-427.55717479666691</v>
      </c>
      <c r="J90" s="31">
        <f ca="1">-(J79-I79+J82-I82)</f>
        <v>-302.46248951120333</v>
      </c>
      <c r="K90" s="31">
        <f t="shared" ref="K90:R90" ca="1" si="149">-(K79-J79+K82-J82)</f>
        <v>-322.47750710923083</v>
      </c>
      <c r="L90" s="31">
        <f t="shared" ca="1" si="149"/>
        <v>-368.91593693832374</v>
      </c>
      <c r="M90" s="31">
        <f t="shared" ca="1" si="149"/>
        <v>-395.21411250680512</v>
      </c>
      <c r="N90" s="31">
        <f t="shared" ca="1" si="149"/>
        <v>-461.33748445097854</v>
      </c>
      <c r="O90" s="31">
        <f t="shared" ca="1" si="149"/>
        <v>-501.51134353965608</v>
      </c>
      <c r="P90" s="31">
        <f t="shared" ca="1" si="149"/>
        <v>-534.93963802243752</v>
      </c>
      <c r="Q90" s="31">
        <f t="shared" ca="1" si="149"/>
        <v>-575.87089273039646</v>
      </c>
      <c r="R90" s="31">
        <f t="shared" ca="1" si="149"/>
        <v>-632.24526970128272</v>
      </c>
      <c r="T90" s="2"/>
    </row>
    <row r="91" spans="1:22">
      <c r="A91" s="63" t="s">
        <v>106</v>
      </c>
      <c r="B91"/>
      <c r="D91" s="51"/>
      <c r="I91" s="31" cm="1">
        <f t="array" aca="1" ref="I91" ca="1">-(1-INDEX(TaxRate,I$1))*I28</f>
        <v>97.396551724137936</v>
      </c>
      <c r="J91" s="31" cm="1">
        <f t="array" aca="1" ref="J91" ca="1">-(1-INDEX(TaxRate,J$1))*J28</f>
        <v>96.744827586206895</v>
      </c>
      <c r="K91" s="31" cm="1">
        <f t="array" aca="1" ref="K91" ca="1">-(1-INDEX(TaxRate,K$1))*K28</f>
        <v>96.744827586206895</v>
      </c>
      <c r="L91" s="31" cm="1">
        <f t="array" aca="1" ref="L91" ca="1">-(1-INDEX(TaxRate,L$1))*L28</f>
        <v>96.744827586206895</v>
      </c>
      <c r="M91" s="31" cm="1">
        <f t="array" aca="1" ref="M91" ca="1">-(1-INDEX(TaxRate,M$1))*M28</f>
        <v>96.744827586206895</v>
      </c>
      <c r="N91" s="31" cm="1">
        <f t="array" aca="1" ref="N91" ca="1">-(1-INDEX(TaxRate,N$1))*N28</f>
        <v>96.744827586206895</v>
      </c>
      <c r="O91" s="31" cm="1">
        <f t="array" aca="1" ref="O91" ca="1">-(1-INDEX(TaxRate,O$1))*O28</f>
        <v>77.395862068965528</v>
      </c>
      <c r="P91" s="31" cm="1">
        <f t="array" aca="1" ref="P91" ca="1">-(1-INDEX(TaxRate,P$1))*P28</f>
        <v>77.395862068965528</v>
      </c>
      <c r="Q91" s="31" cm="1">
        <f t="array" aca="1" ref="Q91" ca="1">-(1-INDEX(TaxRate,Q$1))*Q28</f>
        <v>77.395862068965528</v>
      </c>
      <c r="R91" s="31" cm="1">
        <f t="array" aca="1" ref="R91" ca="1">-(1-INDEX(TaxRate,R$1))*R28</f>
        <v>77.395862068965528</v>
      </c>
      <c r="T91" s="2"/>
    </row>
    <row r="92" spans="1:22">
      <c r="A92" s="63" t="s">
        <v>107</v>
      </c>
      <c r="B92"/>
      <c r="D92" s="51"/>
      <c r="I92" s="31" cm="1">
        <f t="array" aca="1" ref="I92" ca="1">-(1-INDEX(TaxRate,I$1))*I27</f>
        <v>-75.398557832286173</v>
      </c>
      <c r="J92" s="31" cm="1">
        <f t="array" aca="1" ref="J92" ca="1">-(1-INDEX(TaxRate,J$1))*J27</f>
        <v>-72.57581025368502</v>
      </c>
      <c r="K92" s="31" cm="1">
        <f t="array" aca="1" ref="K92" ca="1">-(1-INDEX(TaxRate,K$1))*K27</f>
        <v>-66.240260561220225</v>
      </c>
      <c r="L92" s="31" cm="1">
        <f t="array" aca="1" ref="L92" ca="1">-(1-INDEX(TaxRate,L$1))*L27</f>
        <v>-62.446233156648667</v>
      </c>
      <c r="M92" s="31" cm="1">
        <f t="array" aca="1" ref="M92" ca="1">-(1-INDEX(TaxRate,M$1))*M27</f>
        <v>-60.27124186712561</v>
      </c>
      <c r="N92" s="31" cm="1">
        <f t="array" aca="1" ref="N92" ca="1">-(1-INDEX(TaxRate,N$1))*N27</f>
        <v>-59.712973558464221</v>
      </c>
      <c r="O92" s="31" cm="1">
        <f t="array" aca="1" ref="O92" ca="1">-(1-INDEX(TaxRate,O$1))*O27</f>
        <v>-50.723477580032181</v>
      </c>
      <c r="P92" s="31" cm="1">
        <f t="array" aca="1" ref="P92" ca="1">-(1-INDEX(TaxRate,P$1))*P27</f>
        <v>-56.816496058269436</v>
      </c>
      <c r="Q92" s="31" cm="1">
        <f t="array" aca="1" ref="Q92" ca="1">-(1-INDEX(TaxRate,Q$1))*Q27</f>
        <v>-66.398671232121998</v>
      </c>
      <c r="R92" s="31" cm="1">
        <f t="array" aca="1" ref="R92" ca="1">-(1-INDEX(TaxRate,R$1))*R27</f>
        <v>-80.368775602171297</v>
      </c>
      <c r="T92" s="2"/>
    </row>
    <row r="93" spans="1:22">
      <c r="A93" s="62" t="s">
        <v>108</v>
      </c>
      <c r="D93" s="51"/>
      <c r="I93" s="799">
        <f ca="1">SUM(I86:I92)</f>
        <v>-257.86096180332657</v>
      </c>
      <c r="J93" s="799">
        <f t="shared" ref="J93:R93" ca="1" si="150">SUM(J86:J92)</f>
        <v>-423.33837078578608</v>
      </c>
      <c r="K93" s="799">
        <f t="shared" ca="1" si="150"/>
        <v>-366.72800385201191</v>
      </c>
      <c r="L93" s="799">
        <f t="shared" ca="1" si="150"/>
        <v>-74.339155302985631</v>
      </c>
      <c r="M93" s="799">
        <f t="shared" ca="1" si="150"/>
        <v>-144.88750315144935</v>
      </c>
      <c r="N93" s="31">
        <f t="shared" ca="1" si="150"/>
        <v>143.95716841009158</v>
      </c>
      <c r="O93" s="31">
        <f t="shared" ca="1" si="150"/>
        <v>428.48433014695996</v>
      </c>
      <c r="P93" s="31">
        <f t="shared" ca="1" si="150"/>
        <v>706.46663188341108</v>
      </c>
      <c r="Q93" s="31">
        <f t="shared" ca="1" si="150"/>
        <v>1077.5180593966311</v>
      </c>
      <c r="R93" s="31">
        <f t="shared" ca="1" si="150"/>
        <v>1507.7884847565756</v>
      </c>
    </row>
    <row r="95" spans="1:22" ht="18">
      <c r="A95" s="64" t="s">
        <v>109</v>
      </c>
    </row>
    <row r="96" spans="1:22" s="53" customFormat="1">
      <c r="A96" s="65" t="s">
        <v>110</v>
      </c>
      <c r="B96" s="52">
        <f>0.5*WACC!B91+0.5*'Alt WACC'!C23</f>
        <v>0.10219324315986869</v>
      </c>
      <c r="S96"/>
      <c r="T96"/>
    </row>
    <row r="97" spans="1:20" s="53" customFormat="1">
      <c r="A97" s="65" t="s">
        <v>111</v>
      </c>
      <c r="B97" s="52">
        <f>AVERAGE('Deliveries Revenue Growth Rate'!G45:Q45)%</f>
        <v>2.3665454545454542E-2</v>
      </c>
      <c r="S97"/>
      <c r="T97"/>
    </row>
    <row r="98" spans="1:20">
      <c r="A98" s="65"/>
      <c r="B98" s="116"/>
      <c r="C98" s="424"/>
    </row>
    <row r="99" spans="1:20">
      <c r="A99" s="65"/>
    </row>
    <row r="100" spans="1:20">
      <c r="A100" s="58" t="s">
        <v>112</v>
      </c>
      <c r="I100" s="48">
        <f t="shared" ref="I100:Q100" ca="1" si="151">I93</f>
        <v>-257.86096180332657</v>
      </c>
      <c r="J100" s="48">
        <f t="shared" ca="1" si="151"/>
        <v>-423.33837078578608</v>
      </c>
      <c r="K100" s="48">
        <f t="shared" ca="1" si="151"/>
        <v>-366.72800385201191</v>
      </c>
      <c r="L100" s="48">
        <f t="shared" ca="1" si="151"/>
        <v>-74.339155302985631</v>
      </c>
      <c r="M100" s="48">
        <f t="shared" ca="1" si="151"/>
        <v>-144.88750315144935</v>
      </c>
      <c r="N100" s="48">
        <f t="shared" ca="1" si="151"/>
        <v>143.95716841009158</v>
      </c>
      <c r="O100" s="48">
        <f t="shared" ca="1" si="151"/>
        <v>428.48433014695996</v>
      </c>
      <c r="P100" s="48">
        <f t="shared" ca="1" si="151"/>
        <v>706.46663188341108</v>
      </c>
      <c r="Q100" s="48">
        <f t="shared" ca="1" si="151"/>
        <v>1077.5180593966311</v>
      </c>
      <c r="R100" s="48">
        <f ca="1">R93</f>
        <v>1507.7884847565756</v>
      </c>
    </row>
    <row r="101" spans="1:20">
      <c r="A101" s="58" t="s">
        <v>113</v>
      </c>
      <c r="I101" s="48"/>
      <c r="J101" s="48"/>
      <c r="K101" s="48"/>
      <c r="L101" s="48"/>
      <c r="M101" s="48"/>
      <c r="N101" s="48"/>
      <c r="O101" s="48"/>
      <c r="P101" s="48"/>
      <c r="Q101" s="48"/>
      <c r="R101" s="48">
        <f ca="1">R100*(1+B97)/(B96-B97)</f>
        <v>19655.092952960484</v>
      </c>
    </row>
    <row r="102" spans="1:20">
      <c r="A102" s="58" t="s">
        <v>114</v>
      </c>
      <c r="I102" s="48">
        <f ca="1">I101+I100</f>
        <v>-257.86096180332657</v>
      </c>
      <c r="J102" s="48">
        <f t="shared" ref="J102:Q102" ca="1" si="152">J101+J100</f>
        <v>-423.33837078578608</v>
      </c>
      <c r="K102" s="48">
        <f t="shared" ca="1" si="152"/>
        <v>-366.72800385201191</v>
      </c>
      <c r="L102" s="48">
        <f t="shared" ca="1" si="152"/>
        <v>-74.339155302985631</v>
      </c>
      <c r="M102" s="48">
        <f t="shared" ca="1" si="152"/>
        <v>-144.88750315144935</v>
      </c>
      <c r="N102" s="48">
        <f t="shared" ca="1" si="152"/>
        <v>143.95716841009158</v>
      </c>
      <c r="O102" s="48">
        <f t="shared" ca="1" si="152"/>
        <v>428.48433014695996</v>
      </c>
      <c r="P102" s="48">
        <f t="shared" ca="1" si="152"/>
        <v>706.46663188341108</v>
      </c>
      <c r="Q102" s="48">
        <f t="shared" ca="1" si="152"/>
        <v>1077.5180593966311</v>
      </c>
      <c r="R102" s="48">
        <f ca="1">R101+R100</f>
        <v>21162.88143771706</v>
      </c>
    </row>
    <row r="103" spans="1:20" ht="15.75" thickBot="1"/>
    <row r="104" spans="1:20">
      <c r="A104" s="58" t="str">
        <f>"Enterprise value"</f>
        <v>Enterprise value</v>
      </c>
      <c r="B104" s="54">
        <f ca="1">NPV(B96,I102:R102)*(1+B96)^0.5</f>
        <v>8475.3459494507824</v>
      </c>
      <c r="C104" s="260" t="str">
        <f ca="1">_xlfn.FORMULATEXT(B104)</f>
        <v>=NPV(B96,I102:R102)*(1+B96)^0.5</v>
      </c>
    </row>
    <row r="105" spans="1:20">
      <c r="A105" s="58" t="s">
        <v>115</v>
      </c>
      <c r="B105" s="55">
        <f>D38</f>
        <v>4991</v>
      </c>
      <c r="C105" s="260" t="str">
        <f t="shared" ref="C105:C108" ca="1" si="153">_xlfn.FORMULATEXT(B105)</f>
        <v>=D38</v>
      </c>
    </row>
    <row r="106" spans="1:20">
      <c r="A106" s="58" t="s">
        <v>116</v>
      </c>
      <c r="B106" s="55">
        <f ca="1">B105+B104</f>
        <v>13466.345949450782</v>
      </c>
      <c r="C106" s="260" t="str">
        <f t="shared" ca="1" si="153"/>
        <v>=B105+B104</v>
      </c>
    </row>
    <row r="107" spans="1:20">
      <c r="A107" s="58" t="s">
        <v>117</v>
      </c>
      <c r="B107" s="55">
        <f>-D62</f>
        <v>-2031</v>
      </c>
      <c r="C107" s="260" t="str">
        <f t="shared" ca="1" si="153"/>
        <v>=-D62</v>
      </c>
      <c r="H107" s="1" t="s">
        <v>118</v>
      </c>
    </row>
    <row r="108" spans="1:20">
      <c r="A108" s="58" t="s">
        <v>119</v>
      </c>
      <c r="B108" s="55">
        <f ca="1">B106+B107</f>
        <v>11435.345949450782</v>
      </c>
      <c r="C108" s="260" t="str">
        <f t="shared" ca="1" si="153"/>
        <v>=B106+B107</v>
      </c>
    </row>
    <row r="109" spans="1:20">
      <c r="A109" s="58" t="s">
        <v>120</v>
      </c>
      <c r="B109" s="33">
        <f>3741.98</f>
        <v>3741.98</v>
      </c>
      <c r="C109" s="260"/>
    </row>
    <row r="110" spans="1:20" ht="15.75" thickBot="1">
      <c r="A110" s="58" t="s">
        <v>121</v>
      </c>
      <c r="B110" s="803">
        <f ca="1">B108/B109</f>
        <v>3.0559612690208882</v>
      </c>
      <c r="C110" s="260" t="str">
        <f ca="1">_xlfn.FORMULATEXT(B110)</f>
        <v>=B108/B109</v>
      </c>
    </row>
    <row r="112" spans="1:20" ht="17.25">
      <c r="A112" s="73" t="s">
        <v>122</v>
      </c>
      <c r="B112" s="22"/>
      <c r="C112" s="22"/>
      <c r="D112" s="22"/>
      <c r="E112" s="22"/>
      <c r="F112" s="22"/>
      <c r="G112" s="22"/>
      <c r="H112" s="22"/>
      <c r="I112" s="22"/>
      <c r="J112" s="22"/>
      <c r="K112" s="22"/>
      <c r="L112" s="22"/>
      <c r="M112" s="22"/>
      <c r="N112" s="22"/>
      <c r="O112" s="22"/>
      <c r="P112" s="22"/>
      <c r="Q112" s="22"/>
      <c r="R112" s="22"/>
    </row>
    <row r="113" spans="2:15">
      <c r="E113" s="70"/>
    </row>
    <row r="114" spans="2:15">
      <c r="D114"/>
      <c r="E114"/>
      <c r="F114"/>
      <c r="G114"/>
      <c r="H114"/>
      <c r="I114"/>
      <c r="J114"/>
      <c r="K114"/>
      <c r="L114"/>
      <c r="M114"/>
      <c r="N114"/>
      <c r="O114"/>
    </row>
    <row r="115" spans="2:15">
      <c r="B115" s="69"/>
      <c r="C115" s="70"/>
      <c r="D115"/>
      <c r="E115"/>
      <c r="F115"/>
      <c r="G115"/>
      <c r="H115"/>
      <c r="I115"/>
      <c r="J115"/>
      <c r="K115"/>
      <c r="L115"/>
      <c r="M115"/>
      <c r="N115"/>
      <c r="O115"/>
    </row>
    <row r="116" spans="2:15">
      <c r="D116"/>
      <c r="E116"/>
      <c r="F116"/>
      <c r="G116"/>
      <c r="H116"/>
      <c r="I116"/>
      <c r="J116"/>
      <c r="K116"/>
      <c r="L116"/>
      <c r="M116"/>
      <c r="N116"/>
      <c r="O116"/>
    </row>
    <row r="117" spans="2:15">
      <c r="D117"/>
      <c r="E117"/>
      <c r="F117"/>
      <c r="G117"/>
      <c r="H117"/>
      <c r="I117"/>
      <c r="J117"/>
      <c r="K117"/>
      <c r="L117"/>
      <c r="M117"/>
      <c r="N117"/>
      <c r="O117"/>
    </row>
    <row r="118" spans="2:15">
      <c r="D118"/>
      <c r="E118"/>
      <c r="F118"/>
      <c r="G118"/>
      <c r="H118"/>
      <c r="I118"/>
      <c r="J118"/>
      <c r="K118"/>
      <c r="L118"/>
      <c r="M118"/>
      <c r="N118"/>
      <c r="O118"/>
    </row>
    <row r="119" spans="2:15">
      <c r="D119"/>
      <c r="E119"/>
      <c r="F119"/>
      <c r="G119"/>
      <c r="H119"/>
      <c r="I119"/>
      <c r="J119"/>
      <c r="K119"/>
      <c r="L119"/>
      <c r="M119"/>
      <c r="N119"/>
      <c r="O119"/>
    </row>
    <row r="120" spans="2:15">
      <c r="D120"/>
      <c r="E120"/>
      <c r="F120"/>
      <c r="G120"/>
      <c r="H120"/>
      <c r="I120"/>
      <c r="J120"/>
      <c r="K120"/>
      <c r="L120"/>
      <c r="M120"/>
      <c r="N120"/>
      <c r="O120"/>
    </row>
    <row r="121" spans="2:15">
      <c r="D121"/>
      <c r="E121"/>
      <c r="F121"/>
      <c r="G121"/>
      <c r="H121"/>
      <c r="I121"/>
      <c r="J121"/>
      <c r="K121"/>
      <c r="L121"/>
      <c r="M121"/>
      <c r="N121"/>
      <c r="O121"/>
    </row>
    <row r="122" spans="2:15">
      <c r="D122"/>
      <c r="E122"/>
      <c r="F122"/>
      <c r="G122"/>
      <c r="H122"/>
      <c r="I122"/>
      <c r="J122"/>
      <c r="K122"/>
      <c r="L122"/>
      <c r="M122"/>
      <c r="N122"/>
      <c r="O122"/>
    </row>
    <row r="123" spans="2:15">
      <c r="D123"/>
      <c r="E123"/>
      <c r="F123"/>
      <c r="G123"/>
      <c r="H123"/>
    </row>
    <row r="124" spans="2:15" ht="15.75" thickBot="1">
      <c r="D124"/>
      <c r="E124"/>
      <c r="F124"/>
      <c r="G124"/>
      <c r="H124"/>
    </row>
    <row r="125" spans="2:15">
      <c r="C125" s="69"/>
      <c r="D125"/>
      <c r="E125"/>
      <c r="F125"/>
      <c r="G125"/>
      <c r="H125"/>
      <c r="J125" s="72" t="s">
        <v>123</v>
      </c>
      <c r="K125" s="66"/>
      <c r="L125" s="66"/>
      <c r="M125" s="66"/>
      <c r="N125" s="66"/>
      <c r="O125" s="46"/>
    </row>
    <row r="126" spans="2:15">
      <c r="B126" s="56"/>
      <c r="C126" s="71"/>
      <c r="D126"/>
      <c r="E126"/>
      <c r="F126"/>
      <c r="G126"/>
      <c r="H126"/>
      <c r="J126" s="75" t="s">
        <v>124</v>
      </c>
      <c r="O126" s="39"/>
    </row>
    <row r="127" spans="2:15">
      <c r="D127"/>
      <c r="E127"/>
      <c r="F127"/>
      <c r="G127"/>
      <c r="H127"/>
      <c r="J127" s="75" t="s">
        <v>125</v>
      </c>
      <c r="O127" s="39"/>
    </row>
    <row r="128" spans="2:15">
      <c r="D128"/>
      <c r="E128"/>
      <c r="F128"/>
      <c r="G128"/>
      <c r="H128"/>
      <c r="J128" s="74" t="s">
        <v>126</v>
      </c>
      <c r="O128" s="39"/>
    </row>
    <row r="129" spans="3:15">
      <c r="D129"/>
      <c r="E129"/>
      <c r="F129"/>
      <c r="G129"/>
      <c r="H129"/>
      <c r="J129" s="74" t="s">
        <v>127</v>
      </c>
      <c r="O129" s="39"/>
    </row>
    <row r="130" spans="3:15">
      <c r="D130"/>
      <c r="E130"/>
      <c r="F130"/>
      <c r="G130"/>
      <c r="H130"/>
      <c r="J130" s="75" t="s">
        <v>128</v>
      </c>
      <c r="O130" s="39"/>
    </row>
    <row r="131" spans="3:15">
      <c r="C131"/>
      <c r="D131"/>
      <c r="E131"/>
      <c r="F131"/>
      <c r="G131"/>
      <c r="H131"/>
      <c r="J131" s="75" t="s">
        <v>129</v>
      </c>
      <c r="O131" s="39"/>
    </row>
    <row r="132" spans="3:15">
      <c r="D132"/>
      <c r="E132"/>
      <c r="F132"/>
      <c r="G132"/>
      <c r="H132"/>
      <c r="J132" s="75" t="s">
        <v>130</v>
      </c>
      <c r="O132" s="39"/>
    </row>
    <row r="133" spans="3:15">
      <c r="D133"/>
      <c r="E133"/>
      <c r="F133"/>
      <c r="G133"/>
      <c r="H133"/>
      <c r="J133" s="75" t="s">
        <v>131</v>
      </c>
      <c r="O133" s="39"/>
    </row>
    <row r="134" spans="3:15">
      <c r="D134"/>
      <c r="E134"/>
      <c r="F134"/>
      <c r="G134"/>
      <c r="H134"/>
      <c r="J134" s="75" t="s">
        <v>132</v>
      </c>
      <c r="O134" s="39"/>
    </row>
    <row r="135" spans="3:15" ht="15.75" thickBot="1">
      <c r="J135" s="76" t="s">
        <v>133</v>
      </c>
      <c r="K135" s="67"/>
      <c r="L135" s="67"/>
      <c r="M135" s="67"/>
      <c r="N135" s="67"/>
      <c r="O135" s="68"/>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36CA5-8195-4DFB-8007-F253C3921BC2}">
  <sheetPr codeName="Sheet4"/>
  <dimension ref="A1:AG197"/>
  <sheetViews>
    <sheetView showGridLines="0" zoomScale="93" zoomScaleNormal="70" workbookViewId="0">
      <pane xSplit="1" ySplit="2" topLeftCell="B3" activePane="bottomRight" state="frozen"/>
      <selection activeCell="H20" sqref="H20"/>
      <selection pane="topRight" activeCell="H20" sqref="H20"/>
      <selection pane="bottomLeft" activeCell="H20" sqref="H20"/>
      <selection pane="bottomRight" activeCell="A2" sqref="A2"/>
    </sheetView>
  </sheetViews>
  <sheetFormatPr defaultColWidth="8.7109375" defaultRowHeight="15" outlineLevelRow="3"/>
  <cols>
    <col min="1" max="1" width="38.42578125" bestFit="1" customWidth="1"/>
    <col min="2" max="2" width="12.7109375" bestFit="1" customWidth="1"/>
    <col min="3" max="4" width="12" bestFit="1" customWidth="1"/>
    <col min="5" max="6" width="10.28515625" customWidth="1"/>
    <col min="7" max="7" width="12" bestFit="1" customWidth="1"/>
    <col min="8" max="10" width="9.7109375" bestFit="1" customWidth="1"/>
    <col min="11" max="12" width="11.140625" bestFit="1" customWidth="1"/>
    <col min="13" max="18" width="12" bestFit="1" customWidth="1"/>
    <col min="20" max="20" width="25" customWidth="1"/>
    <col min="21" max="21" width="8.140625" customWidth="1"/>
  </cols>
  <sheetData>
    <row r="1" spans="1:33">
      <c r="A1" s="194"/>
      <c r="D1" s="70">
        <v>0</v>
      </c>
      <c r="E1" s="70"/>
      <c r="F1" s="70"/>
      <c r="G1" s="70"/>
      <c r="H1" s="70"/>
      <c r="I1" s="70">
        <v>1</v>
      </c>
      <c r="J1" s="70">
        <v>2</v>
      </c>
      <c r="K1" s="70">
        <v>3</v>
      </c>
      <c r="L1" s="70">
        <v>4</v>
      </c>
      <c r="M1" s="70">
        <v>5</v>
      </c>
      <c r="N1" s="70">
        <v>6</v>
      </c>
      <c r="O1" s="70">
        <v>7</v>
      </c>
      <c r="P1" s="70">
        <v>8</v>
      </c>
      <c r="Q1" s="70">
        <v>9</v>
      </c>
      <c r="R1" s="70">
        <v>10</v>
      </c>
    </row>
    <row r="2" spans="1:33" ht="15.75" thickBot="1">
      <c r="A2" s="78"/>
      <c r="B2" s="23" t="s">
        <v>23</v>
      </c>
      <c r="C2" s="23" t="s">
        <v>24</v>
      </c>
      <c r="D2" s="23" t="s">
        <v>25</v>
      </c>
      <c r="E2" s="23" t="s">
        <v>26</v>
      </c>
      <c r="F2" s="23" t="s">
        <v>27</v>
      </c>
      <c r="G2" s="23" t="s">
        <v>28</v>
      </c>
      <c r="H2" s="23" t="s">
        <v>29</v>
      </c>
      <c r="I2" s="23" t="s">
        <v>30</v>
      </c>
      <c r="J2" s="23" t="s">
        <v>31</v>
      </c>
      <c r="K2" s="23" t="s">
        <v>32</v>
      </c>
      <c r="L2" s="23" t="s">
        <v>33</v>
      </c>
      <c r="M2" s="23" t="s">
        <v>34</v>
      </c>
      <c r="N2" s="23" t="s">
        <v>35</v>
      </c>
      <c r="O2" s="23" t="s">
        <v>36</v>
      </c>
      <c r="P2" s="23" t="s">
        <v>37</v>
      </c>
      <c r="Q2" s="23" t="s">
        <v>38</v>
      </c>
      <c r="R2" s="23" t="s">
        <v>39</v>
      </c>
    </row>
    <row r="3" spans="1:33">
      <c r="A3" t="s">
        <v>134</v>
      </c>
      <c r="B3" s="281"/>
      <c r="C3" s="282">
        <f>(Values!B3+Values!C3)/Values!B3</f>
        <v>0.44497041420118344</v>
      </c>
      <c r="D3" s="283">
        <f>Values!D3/Values!C3-1</f>
        <v>0.43923240938166308</v>
      </c>
      <c r="E3" s="282"/>
      <c r="F3" s="282"/>
      <c r="G3" s="282"/>
      <c r="H3" s="283"/>
      <c r="I3" s="292"/>
      <c r="J3" s="282"/>
      <c r="K3" s="282"/>
      <c r="L3" s="282"/>
      <c r="M3" s="282"/>
      <c r="N3" s="282"/>
      <c r="O3" s="282"/>
      <c r="P3" s="282"/>
      <c r="Q3" s="282"/>
      <c r="R3" s="283"/>
    </row>
    <row r="4" spans="1:33">
      <c r="A4" t="s">
        <v>41</v>
      </c>
      <c r="B4" s="284"/>
      <c r="C4" s="11">
        <f>Values!C5/Values!B5-1</f>
        <v>-1.0078369905956113</v>
      </c>
      <c r="D4" s="285">
        <f>Values!D5/Values!C5-1</f>
        <v>28.6</v>
      </c>
      <c r="E4" s="2"/>
      <c r="F4" s="2"/>
      <c r="G4" s="2"/>
      <c r="H4" s="289"/>
      <c r="I4" s="286">
        <v>3</v>
      </c>
      <c r="J4" s="11">
        <v>4</v>
      </c>
      <c r="K4" s="11">
        <v>3</v>
      </c>
      <c r="L4" s="11">
        <v>2</v>
      </c>
      <c r="M4" s="11">
        <v>1</v>
      </c>
      <c r="N4" s="11">
        <v>0.5</v>
      </c>
      <c r="O4" s="11">
        <v>0.25</v>
      </c>
      <c r="P4" s="11">
        <v>0.15</v>
      </c>
      <c r="Q4" s="11">
        <v>0.08</v>
      </c>
      <c r="R4" s="285">
        <v>0.03</v>
      </c>
    </row>
    <row r="5" spans="1:33">
      <c r="A5" t="s">
        <v>42</v>
      </c>
      <c r="B5" s="284"/>
      <c r="C5" s="11">
        <f>Values!C6/Values!B6-1</f>
        <v>47.666666666666664</v>
      </c>
      <c r="D5" s="285">
        <f>Values!D6/Values!C6-1</f>
        <v>4.1095890410958846E-2</v>
      </c>
      <c r="E5" s="11">
        <f>Values!E6/Values!D6-1</f>
        <v>-0.75438596491228072</v>
      </c>
      <c r="F5" s="11">
        <f>Values!F6/Values!E6-1</f>
        <v>0.4375</v>
      </c>
      <c r="G5" s="11">
        <f>Values!G6/Values!F6-1</f>
        <v>9.3167701863354102E-2</v>
      </c>
      <c r="H5" s="415">
        <f>I5-E5-F5-G5</f>
        <v>0.62371826304892664</v>
      </c>
      <c r="I5" s="286">
        <v>0.4</v>
      </c>
      <c r="J5" s="11">
        <v>0.5</v>
      </c>
      <c r="K5" s="11">
        <v>0.4</v>
      </c>
      <c r="L5" s="11">
        <v>0.3</v>
      </c>
      <c r="M5" s="11">
        <v>0.25</v>
      </c>
      <c r="N5" s="11">
        <v>0.2</v>
      </c>
      <c r="O5" s="11">
        <v>0.15</v>
      </c>
      <c r="P5" s="11">
        <v>0.15</v>
      </c>
      <c r="Q5" s="11">
        <v>0.05</v>
      </c>
      <c r="R5" s="285">
        <v>0.03</v>
      </c>
    </row>
    <row r="6" spans="1:33">
      <c r="A6" t="s">
        <v>43</v>
      </c>
      <c r="B6" s="284"/>
      <c r="C6" s="11">
        <f>Values!C7/Values!B7-1</f>
        <v>-0.95633187772925765</v>
      </c>
      <c r="D6" s="285">
        <f>Values!D7/Values!C7-1</f>
        <v>-3.7</v>
      </c>
      <c r="E6" s="2"/>
      <c r="F6" s="2"/>
      <c r="G6" s="2"/>
      <c r="H6" s="289"/>
      <c r="I6" s="286">
        <v>1.7</v>
      </c>
      <c r="J6" s="11">
        <v>2</v>
      </c>
      <c r="K6" s="11">
        <v>1.7</v>
      </c>
      <c r="L6" s="11">
        <v>1.5</v>
      </c>
      <c r="M6" s="11">
        <v>1</v>
      </c>
      <c r="N6" s="11">
        <v>0.5</v>
      </c>
      <c r="O6" s="11">
        <v>0.3</v>
      </c>
      <c r="P6" s="11">
        <v>0.15</v>
      </c>
      <c r="Q6" s="11">
        <v>0.08</v>
      </c>
      <c r="R6" s="285">
        <v>0.03</v>
      </c>
      <c r="AG6" s="20" t="s">
        <v>135</v>
      </c>
    </row>
    <row r="7" spans="1:33">
      <c r="A7" t="s">
        <v>44</v>
      </c>
      <c r="B7" s="284"/>
      <c r="C7" s="11">
        <f>Values!C8/Values!B8-1</f>
        <v>1.7692307692307692</v>
      </c>
      <c r="D7" s="285">
        <f>Values!D8/Values!C8-1</f>
        <v>0.22222222222222232</v>
      </c>
      <c r="E7" s="2"/>
      <c r="F7" s="2"/>
      <c r="G7" s="2"/>
      <c r="H7" s="289"/>
      <c r="I7" s="286">
        <v>0.32</v>
      </c>
      <c r="J7" s="11">
        <v>0.45</v>
      </c>
      <c r="K7" s="11">
        <v>0.32</v>
      </c>
      <c r="L7" s="11">
        <v>0.25</v>
      </c>
      <c r="M7" s="11">
        <v>0.2</v>
      </c>
      <c r="N7" s="11">
        <v>0.15</v>
      </c>
      <c r="O7" s="11">
        <v>0.1</v>
      </c>
      <c r="P7" s="11">
        <v>0.08</v>
      </c>
      <c r="Q7" s="11">
        <v>0.05</v>
      </c>
      <c r="R7" s="285">
        <v>0.03</v>
      </c>
    </row>
    <row r="8" spans="1:33">
      <c r="A8" t="s">
        <v>45</v>
      </c>
      <c r="B8" s="451">
        <f>'Forecast for Expenses'!B7</f>
        <v>0.44687915006640105</v>
      </c>
      <c r="C8" s="409">
        <f>'Forecast for Expenses'!C7</f>
        <v>0.3376318874560375</v>
      </c>
      <c r="D8" s="410">
        <f>'Forecast for Expenses'!D7</f>
        <v>0.29507529507529506</v>
      </c>
      <c r="E8" s="409">
        <f>'Forecast for Expenses'!E7</f>
        <v>0.35025380710659898</v>
      </c>
      <c r="F8" s="409">
        <f>'Forecast for Expenses'!F7</f>
        <v>0.35545023696682465</v>
      </c>
      <c r="G8" s="409">
        <f>'Forecast for Expenses'!G7</f>
        <v>0.32983682983682983</v>
      </c>
      <c r="H8" s="410">
        <f>'Forecast for Expenses'!H7</f>
        <v>0.3335931130495729</v>
      </c>
      <c r="I8" s="408">
        <f>'Forecast for Expenses'!I7</f>
        <v>0.34228349673995662</v>
      </c>
      <c r="J8" s="409">
        <f>'Forecast for Expenses'!J7</f>
        <v>0.34228349673995662</v>
      </c>
      <c r="K8" s="409">
        <f>'Forecast for Expenses'!K7</f>
        <v>0.34057207925625682</v>
      </c>
      <c r="L8" s="409">
        <f>'Forecast for Expenses'!L7</f>
        <v>0.33716635846369425</v>
      </c>
      <c r="M8" s="409">
        <f>'Forecast for Expenses'!M7</f>
        <v>0.33210886308673881</v>
      </c>
      <c r="N8" s="409">
        <f>'Forecast for Expenses'!N7</f>
        <v>0.32546668582500404</v>
      </c>
      <c r="O8" s="409">
        <f>'Forecast for Expenses'!O7</f>
        <v>0.31733001867937893</v>
      </c>
      <c r="P8" s="409">
        <f>'Forecast for Expenses'!P7</f>
        <v>0.30781011811899756</v>
      </c>
      <c r="Q8" s="409">
        <f>'Forecast for Expenses'!Q7</f>
        <v>0.29703676398483264</v>
      </c>
      <c r="R8" s="410">
        <f>'Forecast for Expenses'!R7</f>
        <v>0.28515529342543933</v>
      </c>
    </row>
    <row r="9" spans="1:33">
      <c r="A9" t="s">
        <v>136</v>
      </c>
      <c r="B9" s="411">
        <f>Values!B10/Values!B$3</f>
        <v>1.7964497041420118</v>
      </c>
      <c r="C9" s="412">
        <f>Values!C10/Values!C$3</f>
        <v>-0.22814498933901919</v>
      </c>
      <c r="D9" s="413">
        <f>Values!D10/Values!D$3</f>
        <v>-7.407407407407407E-2</v>
      </c>
      <c r="E9" s="412">
        <f>Values!E10/Values!E$3</f>
        <v>-0.21052631578947367</v>
      </c>
      <c r="F9" s="412">
        <f>Values!F10/Values!F$3</f>
        <v>6.5420560747663545E-2</v>
      </c>
      <c r="G9" s="412">
        <f>Values!G10/Values!G$3</f>
        <v>0.25916230366492149</v>
      </c>
      <c r="H9" s="413">
        <f ca="1">Values!H10/Values!H$3</f>
        <v>0.65370688566398827</v>
      </c>
      <c r="I9" s="411">
        <f ca="1">Values!I10/Values!I3</f>
        <v>0.25782415212328147</v>
      </c>
      <c r="J9" s="701">
        <f ca="1">Values!J10/Values!J3</f>
        <v>0.35340455906316531</v>
      </c>
      <c r="K9" s="701">
        <f ca="1">Values!K10/Values!K3</f>
        <v>0.42594993572706152</v>
      </c>
      <c r="L9" s="701">
        <f ca="1">Values!L10/Values!L3</f>
        <v>0.48199411091335376</v>
      </c>
      <c r="M9" s="701">
        <f ca="1">Values!M10/Values!M3</f>
        <v>0.52099110354029465</v>
      </c>
      <c r="N9" s="701">
        <f ca="1">Values!N10/Values!N3</f>
        <v>0.55931410065257037</v>
      </c>
      <c r="O9" s="701">
        <f ca="1">Values!O10/Values!O3</f>
        <v>0.59588109360683883</v>
      </c>
      <c r="P9" s="701">
        <f ca="1">Values!P10/Values!P3</f>
        <v>0.6307422495078252</v>
      </c>
      <c r="Q9" s="701">
        <f ca="1">Values!Q10/Values!Q3</f>
        <v>0.66396439031412335</v>
      </c>
      <c r="R9" s="700">
        <f ca="1">Values!R10/Values!R3</f>
        <v>0.69598880638213367</v>
      </c>
    </row>
    <row r="10" spans="1:33">
      <c r="A10" s="21" t="s">
        <v>137</v>
      </c>
      <c r="B10" s="414"/>
      <c r="C10" s="412"/>
      <c r="D10" s="413"/>
      <c r="E10" s="412"/>
      <c r="F10" s="412"/>
      <c r="G10" s="412"/>
      <c r="H10" s="413"/>
      <c r="I10" s="411"/>
      <c r="J10" s="412"/>
      <c r="K10" s="412"/>
      <c r="L10" s="412"/>
      <c r="M10" s="412"/>
      <c r="N10" s="412"/>
      <c r="O10" s="412"/>
      <c r="P10" s="412"/>
      <c r="Q10" s="412"/>
      <c r="R10" s="413"/>
    </row>
    <row r="11" spans="1:33">
      <c r="A11" s="20"/>
      <c r="B11" s="287"/>
      <c r="C11" s="11"/>
      <c r="D11" s="285"/>
      <c r="E11" s="11"/>
      <c r="F11" s="11"/>
      <c r="G11" s="11"/>
      <c r="H11" s="285"/>
      <c r="I11" s="286"/>
      <c r="J11" s="11"/>
      <c r="K11" s="11"/>
      <c r="L11" s="11"/>
      <c r="M11" s="11"/>
      <c r="N11" s="11"/>
      <c r="O11" s="11"/>
      <c r="P11" s="11"/>
      <c r="Q11" s="11"/>
      <c r="R11" s="285"/>
    </row>
    <row r="12" spans="1:33">
      <c r="B12" s="288"/>
      <c r="D12" s="289"/>
      <c r="H12" s="289"/>
      <c r="I12" s="288"/>
      <c r="R12" s="289"/>
    </row>
    <row r="13" spans="1:33" hidden="1" outlineLevel="1">
      <c r="A13" s="20" t="s">
        <v>138</v>
      </c>
      <c r="B13" s="288"/>
      <c r="D13" s="289"/>
      <c r="H13" s="289"/>
      <c r="I13" s="288"/>
      <c r="R13" s="289"/>
    </row>
    <row r="14" spans="1:33" hidden="1" outlineLevel="1">
      <c r="A14" s="77" t="s">
        <v>139</v>
      </c>
      <c r="B14" s="288"/>
      <c r="C14" s="188">
        <f t="shared" ref="C14:D16" si="0">(C20-B20)/B20</f>
        <v>0.85544621649134711</v>
      </c>
      <c r="D14" s="452">
        <f t="shared" si="0"/>
        <v>0.55998536942209221</v>
      </c>
      <c r="H14" s="289"/>
      <c r="I14" s="328">
        <f>'Deliveries Revenue Growth Rate'!E16*'Deliveries Revenue Growth Rate'!D36</f>
        <v>9.8754340413816588E-2</v>
      </c>
      <c r="J14" s="183">
        <f>'Deliveries Revenue Growth Rate'!F16*'Deliveries Revenue Growth Rate'!E36</f>
        <v>0.14958657923558644</v>
      </c>
      <c r="K14" s="183">
        <f>'Deliveries Revenue Growth Rate'!G16*'Deliveries Revenue Growth Rate'!F36</f>
        <v>0.15153596611450154</v>
      </c>
      <c r="L14" s="183">
        <f>'Deliveries Revenue Growth Rate'!H16*'Deliveries Revenue Growth Rate'!G36</f>
        <v>0.1432490255828785</v>
      </c>
      <c r="M14" s="183">
        <f>'Deliveries Revenue Growth Rate'!I16*'Deliveries Revenue Growth Rate'!H36</f>
        <v>0.11131843759737518</v>
      </c>
      <c r="N14" s="694">
        <f>'Deliveries Revenue Growth Rate'!J16*'Deliveries Revenue Growth Rate'!I36</f>
        <v>8.3922951623361289E-2</v>
      </c>
      <c r="O14" s="694">
        <f>'Deliveries Revenue Growth Rate'!K16*'Deliveries Revenue Growth Rate'!J36</f>
        <v>6.853667581486117E-2</v>
      </c>
      <c r="P14" s="694">
        <f>'Deliveries Revenue Growth Rate'!L16*'Deliveries Revenue Growth Rate'!K36</f>
        <v>5.6117200388396578E-2</v>
      </c>
      <c r="Q14" s="694">
        <f>'Deliveries Revenue Growth Rate'!M16*'Deliveries Revenue Growth Rate'!L36</f>
        <v>5.4178956435666281E-2</v>
      </c>
      <c r="R14" s="695">
        <f>'Deliveries Revenue Growth Rate'!N16*'Deliveries Revenue Growth Rate'!M36</f>
        <v>4.9934000000000055E-2</v>
      </c>
      <c r="S14" s="843" t="s">
        <v>682</v>
      </c>
    </row>
    <row r="15" spans="1:33" hidden="1" outlineLevel="1">
      <c r="A15" s="77" t="s">
        <v>140</v>
      </c>
      <c r="B15" s="288"/>
      <c r="C15" s="188">
        <f t="shared" si="0"/>
        <v>-0.43447069116360454</v>
      </c>
      <c r="D15" s="452">
        <f t="shared" si="0"/>
        <v>-0.13768564356435645</v>
      </c>
      <c r="H15" s="289"/>
      <c r="I15" s="329">
        <f>'Mobility Revenue Growth Rate'!I15</f>
        <v>0.40473201655577101</v>
      </c>
      <c r="J15" s="330">
        <f>'Mobility Revenue Growth Rate'!J15</f>
        <v>0.37341312821220363</v>
      </c>
      <c r="K15" s="330">
        <f>'Mobility Revenue Growth Rate'!K15</f>
        <v>0.23944016794961512</v>
      </c>
      <c r="L15" s="330">
        <f>'Mobility Revenue Growth Rate'!L15</f>
        <v>0.20496751740139194</v>
      </c>
      <c r="M15" s="330">
        <f>'Mobility Revenue Growth Rate'!M15</f>
        <v>0.1539583200831055</v>
      </c>
      <c r="N15" s="114">
        <f>'Mobility Revenue Growth Rate'!N15</f>
        <v>0.16053163989187785</v>
      </c>
      <c r="O15" s="114">
        <f>'Mobility Revenue Growth Rate'!O15</f>
        <v>0.12987528755322778</v>
      </c>
      <c r="P15" s="114">
        <f>'Mobility Revenue Growth Rate'!P15</f>
        <v>9.939780723285889E-2</v>
      </c>
      <c r="Q15" s="114">
        <f>'Mobility Revenue Growth Rate'!Q15</f>
        <v>7.7094305917379785E-2</v>
      </c>
      <c r="R15" s="114">
        <f>'Mobility Revenue Growth Rate'!R15</f>
        <v>6.7314619756280988E-2</v>
      </c>
      <c r="S15" s="843" t="s">
        <v>683</v>
      </c>
    </row>
    <row r="16" spans="1:33" hidden="1" outlineLevel="1">
      <c r="A16" s="77" t="s">
        <v>141</v>
      </c>
      <c r="B16" s="288"/>
      <c r="C16" s="188">
        <f t="shared" si="0"/>
        <v>4.7219893825090807E-2</v>
      </c>
      <c r="D16" s="452">
        <f t="shared" si="0"/>
        <v>0.22491995731056563</v>
      </c>
      <c r="H16" s="289"/>
      <c r="I16" s="330">
        <f ca="1">'Financial Services Growth Rate'!B66</f>
        <v>0.09</v>
      </c>
      <c r="J16" s="330">
        <f ca="1">'Financial Services Growth Rate'!C66</f>
        <v>0.09</v>
      </c>
      <c r="K16" s="114">
        <f ca="1">'Financial Services Growth Rate'!D66</f>
        <v>0.09</v>
      </c>
      <c r="L16" s="114">
        <f ca="1">'Financial Services Growth Rate'!E66</f>
        <v>0.09</v>
      </c>
      <c r="M16" s="172">
        <f ca="1">'Financial Services Growth Rate'!F66</f>
        <v>0.09</v>
      </c>
      <c r="N16" s="696">
        <f ca="1">'Financial Services Growth Rate'!G66</f>
        <v>0.09</v>
      </c>
      <c r="O16" s="696">
        <f ca="1">'Financial Services Growth Rate'!H66</f>
        <v>0.09</v>
      </c>
      <c r="P16" s="696">
        <f ca="1">'Financial Services Growth Rate'!I66</f>
        <v>0.08</v>
      </c>
      <c r="Q16" s="696">
        <f ca="1">'Financial Services Growth Rate'!J66</f>
        <v>0.08</v>
      </c>
      <c r="R16" s="697">
        <f ca="1">'Financial Services Growth Rate'!K66</f>
        <v>0.08</v>
      </c>
      <c r="S16" s="843"/>
    </row>
    <row r="17" spans="1:21" ht="15.75" hidden="1" outlineLevel="1" thickBot="1">
      <c r="A17" s="81" t="s">
        <v>142</v>
      </c>
      <c r="B17" s="290"/>
      <c r="C17" s="291">
        <f>(C23-B23)/B23</f>
        <v>3.8888888888888888</v>
      </c>
      <c r="D17" s="453">
        <f>(D23-C23)/C23</f>
        <v>2.4772727272727271</v>
      </c>
      <c r="E17" s="293"/>
      <c r="F17" s="293"/>
      <c r="G17" s="293"/>
      <c r="H17" s="416"/>
      <c r="I17" s="332">
        <f ca="1">(I23-D23)/D23</f>
        <v>0.39999999999999991</v>
      </c>
      <c r="J17" s="333">
        <f ca="1">33/I23</f>
        <v>0.15406162464985995</v>
      </c>
      <c r="K17" s="333">
        <f ca="1">33/J23</f>
        <v>0.13349514563106799</v>
      </c>
      <c r="L17" s="333">
        <f ca="1">33/K23</f>
        <v>0.11777301927194861</v>
      </c>
      <c r="M17" s="333">
        <f t="shared" ref="M17" ca="1" si="1">L17</f>
        <v>0.11777301927194861</v>
      </c>
      <c r="N17" s="698">
        <f ca="1">M17</f>
        <v>0.11777301927194861</v>
      </c>
      <c r="O17" s="698">
        <f ca="1">N17</f>
        <v>0.11777301927194861</v>
      </c>
      <c r="P17" s="698">
        <f ca="1">O17</f>
        <v>0.11777301927194861</v>
      </c>
      <c r="Q17" s="698">
        <f ca="1">P17</f>
        <v>0.11777301927194861</v>
      </c>
      <c r="R17" s="699">
        <f ca="1">Q17</f>
        <v>0.11777301927194861</v>
      </c>
      <c r="U17" s="246" t="s">
        <v>143</v>
      </c>
    </row>
    <row r="18" spans="1:21" hidden="1" outlineLevel="1">
      <c r="E18" s="9"/>
      <c r="H18" s="8"/>
    </row>
    <row r="19" spans="1:21" collapsed="1">
      <c r="A19" s="20" t="s">
        <v>144</v>
      </c>
      <c r="B19" s="79"/>
      <c r="C19" s="79"/>
      <c r="D19" s="79"/>
      <c r="E19" s="9"/>
      <c r="H19" s="8"/>
    </row>
    <row r="20" spans="1:21">
      <c r="A20" s="77" t="s">
        <v>145</v>
      </c>
      <c r="B20" s="84">
        <v>2947</v>
      </c>
      <c r="C20" s="84">
        <v>5468</v>
      </c>
      <c r="D20" s="84">
        <v>8530</v>
      </c>
      <c r="E20" s="9">
        <v>2562</v>
      </c>
      <c r="F20" s="162">
        <v>2476</v>
      </c>
      <c r="G20" s="162">
        <v>2439</v>
      </c>
      <c r="H20" s="164">
        <f>I20-SUM(E20:G20)</f>
        <v>1895.3745237298572</v>
      </c>
      <c r="I20" s="185">
        <f>D20*(1+I14)</f>
        <v>9372.3745237298572</v>
      </c>
      <c r="J20" s="185">
        <f t="shared" ref="J20:R20" si="2">I20*(1+J14)</f>
        <v>10774.355968049365</v>
      </c>
      <c r="K20" s="185">
        <f t="shared" si="2"/>
        <v>12407.058408929272</v>
      </c>
      <c r="L20" s="185">
        <f t="shared" si="2"/>
        <v>14184.357436358248</v>
      </c>
      <c r="M20" s="185">
        <f t="shared" si="2"/>
        <v>15763.337944496359</v>
      </c>
      <c r="N20" s="185">
        <f t="shared" si="2"/>
        <v>17086.243792235022</v>
      </c>
      <c r="O20" s="185">
        <f t="shared" si="2"/>
        <v>18257.278143917116</v>
      </c>
      <c r="P20" s="185">
        <f t="shared" si="2"/>
        <v>19281.825480066003</v>
      </c>
      <c r="Q20" s="185">
        <f t="shared" si="2"/>
        <v>20326.494662750618</v>
      </c>
      <c r="R20" s="185">
        <f t="shared" si="2"/>
        <v>21341.47784724041</v>
      </c>
    </row>
    <row r="21" spans="1:21">
      <c r="A21" s="77" t="s">
        <v>146</v>
      </c>
      <c r="B21" s="84">
        <v>5715</v>
      </c>
      <c r="C21" s="84">
        <v>3232</v>
      </c>
      <c r="D21" s="84">
        <v>2787</v>
      </c>
      <c r="E21" s="9">
        <v>834</v>
      </c>
      <c r="F21" s="162">
        <v>1035</v>
      </c>
      <c r="G21" s="162">
        <v>1086</v>
      </c>
      <c r="H21" s="164">
        <f t="shared" ref="H21:H23" si="3">I21-SUM(E21:G21)</f>
        <v>959.98813014093412</v>
      </c>
      <c r="I21" s="185">
        <f>D21*(1+I15)</f>
        <v>3914.9881301409341</v>
      </c>
      <c r="J21" s="185">
        <f t="shared" ref="J21:R21" si="4">I21*(1+J15)</f>
        <v>5376.8960947305068</v>
      </c>
      <c r="K21" s="185">
        <f t="shared" si="4"/>
        <v>6664.3409987004097</v>
      </c>
      <c r="L21" s="185">
        <f t="shared" si="4"/>
        <v>8030.3144283203455</v>
      </c>
      <c r="M21" s="185">
        <f t="shared" si="4"/>
        <v>9266.6481474436714</v>
      </c>
      <c r="N21" s="185">
        <f t="shared" si="4"/>
        <v>10754.238370853836</v>
      </c>
      <c r="O21" s="185">
        <f t="shared" si="4"/>
        <v>12150.948171684435</v>
      </c>
      <c r="P21" s="185">
        <f t="shared" si="4"/>
        <v>13358.725775749985</v>
      </c>
      <c r="Q21" s="185">
        <f t="shared" si="4"/>
        <v>14388.607467372041</v>
      </c>
      <c r="R21" s="185">
        <f t="shared" si="4"/>
        <v>15357.171107860577</v>
      </c>
    </row>
    <row r="22" spans="1:21">
      <c r="A22" s="77" t="s">
        <v>147</v>
      </c>
      <c r="B22" s="97">
        <v>3579</v>
      </c>
      <c r="C22" s="97">
        <v>3748</v>
      </c>
      <c r="D22" s="97">
        <v>4591</v>
      </c>
      <c r="E22" s="9">
        <v>1357</v>
      </c>
      <c r="F22" s="162">
        <v>1493</v>
      </c>
      <c r="G22" s="162">
        <v>1507</v>
      </c>
      <c r="H22" s="164">
        <f t="shared" ca="1" si="3"/>
        <v>647.19000000000051</v>
      </c>
      <c r="I22" s="185">
        <f ca="1">D22*(1+I16)</f>
        <v>5004.1900000000005</v>
      </c>
      <c r="J22" s="185">
        <f t="shared" ref="J22:R22" ca="1" si="5">I22*(1+J16)</f>
        <v>5454.5671000000011</v>
      </c>
      <c r="K22" s="185">
        <f t="shared" ca="1" si="5"/>
        <v>5945.4781390000016</v>
      </c>
      <c r="L22" s="185">
        <f t="shared" ca="1" si="5"/>
        <v>6480.5711715100024</v>
      </c>
      <c r="M22" s="185">
        <f t="shared" ca="1" si="5"/>
        <v>7063.8225769459032</v>
      </c>
      <c r="N22" s="185">
        <f t="shared" ca="1" si="5"/>
        <v>7699.566608871035</v>
      </c>
      <c r="O22" s="185">
        <f t="shared" ca="1" si="5"/>
        <v>8392.5276036694286</v>
      </c>
      <c r="P22" s="185">
        <f t="shared" ca="1" si="5"/>
        <v>9063.9298119629839</v>
      </c>
      <c r="Q22" s="185">
        <f t="shared" ca="1" si="5"/>
        <v>9789.0441969200238</v>
      </c>
      <c r="R22" s="185">
        <f t="shared" ca="1" si="5"/>
        <v>10572.167732673626</v>
      </c>
    </row>
    <row r="23" spans="1:21">
      <c r="A23" s="81" t="s">
        <v>148</v>
      </c>
      <c r="B23" s="98">
        <v>9</v>
      </c>
      <c r="C23" s="98">
        <v>44</v>
      </c>
      <c r="D23" s="98">
        <v>153</v>
      </c>
      <c r="E23" s="82">
        <v>52</v>
      </c>
      <c r="F23" s="26">
        <v>52</v>
      </c>
      <c r="G23" s="26">
        <v>48</v>
      </c>
      <c r="H23" s="165">
        <f t="shared" ca="1" si="3"/>
        <v>62.199999999999989</v>
      </c>
      <c r="I23" s="186">
        <f ca="1">D23*(1+I17)</f>
        <v>214.2</v>
      </c>
      <c r="J23" s="247">
        <f ca="1">I23*(1+J17)</f>
        <v>247.19999999999996</v>
      </c>
      <c r="K23" s="247">
        <f t="shared" ref="K23:R23" ca="1" si="6">J23*(1+K17)</f>
        <v>280.2</v>
      </c>
      <c r="L23" s="247">
        <f t="shared" ca="1" si="6"/>
        <v>313.2</v>
      </c>
      <c r="M23" s="186">
        <f t="shared" ca="1" si="6"/>
        <v>350.08650963597427</v>
      </c>
      <c r="N23" s="186">
        <f t="shared" ca="1" si="6"/>
        <v>391.31725488218109</v>
      </c>
      <c r="O23" s="186">
        <f t="shared" ca="1" si="6"/>
        <v>437.40386948286624</v>
      </c>
      <c r="P23" s="186">
        <f t="shared" ca="1" si="6"/>
        <v>488.91824383309677</v>
      </c>
      <c r="Q23" s="186">
        <f t="shared" ca="1" si="6"/>
        <v>546.4996215864594</v>
      </c>
      <c r="R23" s="186">
        <f t="shared" ca="1" si="6"/>
        <v>610.86253205167407</v>
      </c>
    </row>
    <row r="24" spans="1:21">
      <c r="A24" s="80" t="s">
        <v>114</v>
      </c>
      <c r="B24" s="147">
        <f>SUM(B20:B23)</f>
        <v>12250</v>
      </c>
      <c r="C24" s="147">
        <f t="shared" ref="C24:D24" si="7">SUM(C20:C23)</f>
        <v>12492</v>
      </c>
      <c r="D24" s="147">
        <f t="shared" si="7"/>
        <v>16061</v>
      </c>
      <c r="E24" s="121">
        <f>SUM(E20:E23)</f>
        <v>4805</v>
      </c>
      <c r="F24" s="20">
        <v>5055</v>
      </c>
      <c r="G24" s="109">
        <f>SUM(G20:G23)</f>
        <v>5080</v>
      </c>
      <c r="H24" s="166">
        <f ca="1">SUM(H20:H23)</f>
        <v>3564.7526538707916</v>
      </c>
      <c r="I24" s="109">
        <f ca="1">SUM(I20:I23)</f>
        <v>18505.752653870793</v>
      </c>
      <c r="J24" s="109">
        <f t="shared" ref="J24:R24" ca="1" si="8">SUM(J20:J23)</f>
        <v>21853.019162779874</v>
      </c>
      <c r="K24" s="109">
        <f t="shared" ca="1" si="8"/>
        <v>25297.077546629684</v>
      </c>
      <c r="L24" s="109">
        <f t="shared" ca="1" si="8"/>
        <v>29008.443036188601</v>
      </c>
      <c r="M24" s="109">
        <f t="shared" ca="1" si="8"/>
        <v>32443.895178521907</v>
      </c>
      <c r="N24" s="109">
        <f t="shared" ca="1" si="8"/>
        <v>35931.366026842072</v>
      </c>
      <c r="O24" s="109">
        <f t="shared" ca="1" si="8"/>
        <v>39238.157788753844</v>
      </c>
      <c r="P24" s="109">
        <f t="shared" ca="1" si="8"/>
        <v>42193.399311612069</v>
      </c>
      <c r="Q24" s="109">
        <f t="shared" ca="1" si="8"/>
        <v>45050.645948629142</v>
      </c>
      <c r="R24" s="109">
        <f t="shared" ca="1" si="8"/>
        <v>47881.679219826285</v>
      </c>
    </row>
    <row r="25" spans="1:21">
      <c r="E25" s="9"/>
      <c r="H25" s="8"/>
    </row>
    <row r="26" spans="1:21" hidden="1" outlineLevel="1">
      <c r="A26" s="20" t="s">
        <v>149</v>
      </c>
      <c r="E26" s="9"/>
      <c r="H26" s="8"/>
    </row>
    <row r="27" spans="1:21" hidden="1" outlineLevel="1">
      <c r="A27" s="77" t="s">
        <v>139</v>
      </c>
      <c r="B27" s="5">
        <f t="shared" ref="B27:D30" si="9">(B73+B40+B53)/B20</f>
        <v>0.10926365795724466</v>
      </c>
      <c r="C27" s="5">
        <f t="shared" si="9"/>
        <v>0.16605705925384054</v>
      </c>
      <c r="D27" s="5">
        <f t="shared" si="9"/>
        <v>0.1817116060961313</v>
      </c>
      <c r="E27" s="163">
        <v>0.19900000000000001</v>
      </c>
      <c r="F27" s="194">
        <v>0.20799999999999999</v>
      </c>
      <c r="G27" s="194">
        <v>0.21199999999999999</v>
      </c>
      <c r="H27" s="380">
        <v>0.22</v>
      </c>
      <c r="I27" s="114">
        <v>0.22</v>
      </c>
      <c r="J27" s="172">
        <f t="shared" ref="J27:L27" si="10">I27+0.01</f>
        <v>0.23</v>
      </c>
      <c r="K27" s="172">
        <f t="shared" si="10"/>
        <v>0.24000000000000002</v>
      </c>
      <c r="L27" s="172">
        <f t="shared" si="10"/>
        <v>0.25</v>
      </c>
      <c r="M27" s="172">
        <f>L27</f>
        <v>0.25</v>
      </c>
      <c r="N27" s="172">
        <f t="shared" ref="N27:R27" si="11">M27</f>
        <v>0.25</v>
      </c>
      <c r="O27" s="172">
        <f t="shared" si="11"/>
        <v>0.25</v>
      </c>
      <c r="P27" s="172">
        <f t="shared" si="11"/>
        <v>0.25</v>
      </c>
      <c r="Q27" s="172">
        <f t="shared" si="11"/>
        <v>0.25</v>
      </c>
      <c r="R27" s="172">
        <f t="shared" si="11"/>
        <v>0.25</v>
      </c>
      <c r="S27" s="843" t="s">
        <v>681</v>
      </c>
    </row>
    <row r="28" spans="1:21" hidden="1" outlineLevel="1">
      <c r="A28" s="77" t="s">
        <v>140</v>
      </c>
      <c r="B28" s="5">
        <f t="shared" si="9"/>
        <v>0.2005249343832021</v>
      </c>
      <c r="C28" s="5">
        <f t="shared" si="9"/>
        <v>0.21318069306930693</v>
      </c>
      <c r="D28" s="5">
        <f t="shared" si="9"/>
        <v>0.23394330821672049</v>
      </c>
      <c r="E28" s="163">
        <v>0.23400000000000001</v>
      </c>
      <c r="F28" s="194">
        <v>0.23200000000000001</v>
      </c>
      <c r="G28" s="194">
        <v>0.23200000000000001</v>
      </c>
      <c r="H28" s="380">
        <v>0.24</v>
      </c>
      <c r="I28" s="183">
        <f>D28+0.01</f>
        <v>0.2439433082167205</v>
      </c>
      <c r="J28" s="173">
        <f>I28+0.01</f>
        <v>0.25394330821672051</v>
      </c>
      <c r="K28" s="173">
        <f t="shared" ref="K28:L28" si="12">J28+0.01</f>
        <v>0.26394330821672052</v>
      </c>
      <c r="L28" s="173">
        <f t="shared" si="12"/>
        <v>0.27394330821672053</v>
      </c>
      <c r="M28" s="173">
        <f>L28</f>
        <v>0.27394330821672053</v>
      </c>
      <c r="N28" s="173">
        <f>M28</f>
        <v>0.27394330821672053</v>
      </c>
      <c r="O28" s="173">
        <f t="shared" ref="O28:R28" si="13">N28</f>
        <v>0.27394330821672053</v>
      </c>
      <c r="P28" s="173">
        <f t="shared" si="13"/>
        <v>0.27394330821672053</v>
      </c>
      <c r="Q28" s="173">
        <f t="shared" si="13"/>
        <v>0.27394330821672053</v>
      </c>
      <c r="R28" s="173">
        <f t="shared" si="13"/>
        <v>0.27394330821672053</v>
      </c>
      <c r="S28" s="843"/>
    </row>
    <row r="29" spans="1:21" hidden="1" outlineLevel="1">
      <c r="A29" s="77" t="s">
        <v>141</v>
      </c>
      <c r="B29" s="5">
        <f t="shared" si="9"/>
        <v>7.8234143615535066E-3</v>
      </c>
      <c r="C29" s="5">
        <f t="shared" si="9"/>
        <v>1.9477054429028817E-2</v>
      </c>
      <c r="D29" s="5">
        <f>(D75+D42+D55)/D22</f>
        <v>2.3306469178828143E-2</v>
      </c>
      <c r="E29" s="163">
        <v>2.5000000000000001E-2</v>
      </c>
      <c r="F29" s="194">
        <v>2.7E-2</v>
      </c>
      <c r="G29" s="194">
        <v>2.9000000000000001E-2</v>
      </c>
      <c r="H29" s="380">
        <v>0.03</v>
      </c>
      <c r="I29" s="114">
        <v>0.03</v>
      </c>
      <c r="J29" s="172">
        <f>I29+0.0025</f>
        <v>3.2500000000000001E-2</v>
      </c>
      <c r="K29" s="172">
        <f t="shared" ref="K29:R29" si="14">J29+0.0025</f>
        <v>3.5000000000000003E-2</v>
      </c>
      <c r="L29" s="172">
        <f t="shared" si="14"/>
        <v>3.7500000000000006E-2</v>
      </c>
      <c r="M29" s="172">
        <f t="shared" si="14"/>
        <v>4.0000000000000008E-2</v>
      </c>
      <c r="N29" s="172">
        <f t="shared" si="14"/>
        <v>4.250000000000001E-2</v>
      </c>
      <c r="O29" s="172">
        <f t="shared" si="14"/>
        <v>4.5000000000000012E-2</v>
      </c>
      <c r="P29" s="172">
        <f t="shared" si="14"/>
        <v>4.7500000000000014E-2</v>
      </c>
      <c r="Q29" s="172">
        <f t="shared" si="14"/>
        <v>5.0000000000000017E-2</v>
      </c>
      <c r="R29" s="172">
        <f t="shared" si="14"/>
        <v>5.2500000000000019E-2</v>
      </c>
      <c r="S29" s="843"/>
    </row>
    <row r="30" spans="1:21" hidden="1" outlineLevel="1">
      <c r="A30" s="81" t="s">
        <v>142</v>
      </c>
      <c r="B30" s="99">
        <f t="shared" si="9"/>
        <v>1</v>
      </c>
      <c r="C30" s="87">
        <f t="shared" si="9"/>
        <v>0.86363636363636365</v>
      </c>
      <c r="D30" s="87">
        <f t="shared" si="9"/>
        <v>0.96078431372549022</v>
      </c>
      <c r="E30" s="167">
        <v>1</v>
      </c>
      <c r="F30" s="99">
        <f>E30</f>
        <v>1</v>
      </c>
      <c r="G30" s="99">
        <f>F30</f>
        <v>1</v>
      </c>
      <c r="H30" s="381">
        <v>1</v>
      </c>
      <c r="I30" s="184">
        <v>1</v>
      </c>
      <c r="J30" s="174">
        <v>1</v>
      </c>
      <c r="K30" s="174">
        <v>1</v>
      </c>
      <c r="L30" s="174">
        <v>1</v>
      </c>
      <c r="M30" s="174">
        <v>1</v>
      </c>
      <c r="N30" s="174">
        <v>1</v>
      </c>
      <c r="O30" s="174">
        <v>1</v>
      </c>
      <c r="P30" s="174">
        <v>1</v>
      </c>
      <c r="Q30" s="174">
        <v>1</v>
      </c>
      <c r="R30" s="174">
        <v>1</v>
      </c>
      <c r="S30" s="843"/>
    </row>
    <row r="31" spans="1:21" hidden="1" outlineLevel="1">
      <c r="E31" s="9"/>
      <c r="H31" s="8"/>
    </row>
    <row r="32" spans="1:21" collapsed="1">
      <c r="A32" s="20" t="s">
        <v>150</v>
      </c>
      <c r="E32" s="9"/>
      <c r="H32" s="8"/>
    </row>
    <row r="33" spans="1:18">
      <c r="A33" s="77" t="s">
        <v>139</v>
      </c>
      <c r="B33" s="88">
        <f>B20*B27</f>
        <v>322</v>
      </c>
      <c r="C33">
        <f t="shared" ref="C33:D33" si="15">C20*C27</f>
        <v>908.00000000000011</v>
      </c>
      <c r="D33">
        <f t="shared" si="15"/>
        <v>1550</v>
      </c>
      <c r="E33" s="168">
        <f>E20*E27</f>
        <v>509.83800000000002</v>
      </c>
      <c r="F33" s="100">
        <f t="shared" ref="F33:G33" si="16">F20*F27</f>
        <v>515.00799999999992</v>
      </c>
      <c r="G33" s="100">
        <f t="shared" si="16"/>
        <v>517.06799999999998</v>
      </c>
      <c r="H33" s="171">
        <f>I33-SUM(E33:G33)</f>
        <v>520.00839522056845</v>
      </c>
      <c r="I33" s="84">
        <f>I20*I27</f>
        <v>2061.9223952205684</v>
      </c>
      <c r="J33" s="84">
        <f t="shared" ref="J33:R33" si="17">J20*J27</f>
        <v>2478.1018726513544</v>
      </c>
      <c r="K33" s="84">
        <f t="shared" si="17"/>
        <v>2977.6940181430255</v>
      </c>
      <c r="L33" s="84">
        <f t="shared" si="17"/>
        <v>3546.0893590895621</v>
      </c>
      <c r="M33" s="84">
        <f t="shared" si="17"/>
        <v>3940.8344861240898</v>
      </c>
      <c r="N33" s="84">
        <f t="shared" si="17"/>
        <v>4271.5609480587555</v>
      </c>
      <c r="O33" s="84">
        <f t="shared" si="17"/>
        <v>4564.319535979279</v>
      </c>
      <c r="P33" s="84">
        <f t="shared" si="17"/>
        <v>4820.4563700165008</v>
      </c>
      <c r="Q33" s="84">
        <f t="shared" si="17"/>
        <v>5081.6236656876545</v>
      </c>
      <c r="R33" s="84">
        <f t="shared" si="17"/>
        <v>5335.3694618101026</v>
      </c>
    </row>
    <row r="34" spans="1:18">
      <c r="A34" s="77" t="s">
        <v>140</v>
      </c>
      <c r="B34">
        <f t="shared" ref="B34:E34" si="18">B21*B28</f>
        <v>1146</v>
      </c>
      <c r="C34">
        <f t="shared" si="18"/>
        <v>689</v>
      </c>
      <c r="D34">
        <f t="shared" si="18"/>
        <v>652</v>
      </c>
      <c r="E34" s="168">
        <f t="shared" si="18"/>
        <v>195.15600000000001</v>
      </c>
      <c r="F34" s="100">
        <f t="shared" ref="F34:G34" si="19">F21*F28</f>
        <v>240.12</v>
      </c>
      <c r="G34" s="100">
        <f t="shared" si="19"/>
        <v>251.95200000000003</v>
      </c>
      <c r="H34" s="171">
        <f t="shared" ref="H34:H36" si="20">I34-SUM(E34:G34)</f>
        <v>267.80715609577214</v>
      </c>
      <c r="I34" s="84">
        <f t="shared" ref="I34:R34" si="21">I21*I28</f>
        <v>955.03515609577221</v>
      </c>
      <c r="J34" s="84">
        <f t="shared" si="21"/>
        <v>1365.42678223343</v>
      </c>
      <c r="K34" s="84">
        <f t="shared" si="21"/>
        <v>1759.0082102813092</v>
      </c>
      <c r="L34" s="84">
        <f t="shared" si="21"/>
        <v>2199.8509005145384</v>
      </c>
      <c r="M34" s="84">
        <f t="shared" si="21"/>
        <v>2538.536249591064</v>
      </c>
      <c r="N34" s="84">
        <f t="shared" si="21"/>
        <v>2946.0516366628949</v>
      </c>
      <c r="O34" s="84">
        <f t="shared" si="21"/>
        <v>3328.670940121146</v>
      </c>
      <c r="P34" s="84">
        <f t="shared" si="21"/>
        <v>3659.5335325689271</v>
      </c>
      <c r="Q34" s="84">
        <f t="shared" si="21"/>
        <v>3941.6627302437055</v>
      </c>
      <c r="R34" s="84">
        <f t="shared" si="21"/>
        <v>4206.9942581375653</v>
      </c>
    </row>
    <row r="35" spans="1:18">
      <c r="A35" s="77" t="s">
        <v>141</v>
      </c>
      <c r="B35">
        <f t="shared" ref="B35:E35" si="22">B22*B29</f>
        <v>28</v>
      </c>
      <c r="C35">
        <f t="shared" si="22"/>
        <v>73</v>
      </c>
      <c r="D35">
        <f t="shared" si="22"/>
        <v>107</v>
      </c>
      <c r="E35" s="168">
        <f t="shared" si="22"/>
        <v>33.925000000000004</v>
      </c>
      <c r="F35" s="100">
        <f t="shared" ref="F35:G35" si="23">F22*F29</f>
        <v>40.311</v>
      </c>
      <c r="G35" s="100">
        <f t="shared" si="23"/>
        <v>43.703000000000003</v>
      </c>
      <c r="H35" s="171">
        <f t="shared" ca="1" si="20"/>
        <v>32.186700000000016</v>
      </c>
      <c r="I35" s="84">
        <f t="shared" ref="I35:R35" ca="1" si="24">I22*I29</f>
        <v>150.12570000000002</v>
      </c>
      <c r="J35" s="84">
        <f t="shared" ca="1" si="24"/>
        <v>177.27343075000005</v>
      </c>
      <c r="K35" s="84">
        <f t="shared" ca="1" si="24"/>
        <v>208.09173486500006</v>
      </c>
      <c r="L35" s="84">
        <f t="shared" ca="1" si="24"/>
        <v>243.02141893162513</v>
      </c>
      <c r="M35" s="84">
        <f t="shared" ca="1" si="24"/>
        <v>282.55290307783616</v>
      </c>
      <c r="N35" s="84">
        <f t="shared" ca="1" si="24"/>
        <v>327.23158087701904</v>
      </c>
      <c r="O35" s="84">
        <f t="shared" ca="1" si="24"/>
        <v>377.6637421651244</v>
      </c>
      <c r="P35" s="84">
        <f t="shared" ca="1" si="24"/>
        <v>430.53666606824186</v>
      </c>
      <c r="Q35" s="84">
        <f t="shared" ca="1" si="24"/>
        <v>489.45220984600132</v>
      </c>
      <c r="R35" s="84">
        <f t="shared" ca="1" si="24"/>
        <v>555.03880596536555</v>
      </c>
    </row>
    <row r="36" spans="1:18">
      <c r="A36" s="81" t="s">
        <v>142</v>
      </c>
      <c r="B36" s="26">
        <f t="shared" ref="B36:E36" si="25">B23*B30</f>
        <v>9</v>
      </c>
      <c r="C36" s="26">
        <f t="shared" si="25"/>
        <v>38</v>
      </c>
      <c r="D36" s="26">
        <f t="shared" si="25"/>
        <v>147</v>
      </c>
      <c r="E36" s="146">
        <f t="shared" si="25"/>
        <v>52</v>
      </c>
      <c r="F36" s="85">
        <f t="shared" ref="F36:G36" si="26">F23*F30</f>
        <v>52</v>
      </c>
      <c r="G36" s="85">
        <f t="shared" si="26"/>
        <v>48</v>
      </c>
      <c r="H36" s="176">
        <f t="shared" ca="1" si="20"/>
        <v>62.199999999999989</v>
      </c>
      <c r="I36" s="85">
        <f t="shared" ref="I36:R36" ca="1" si="27">I23*I30</f>
        <v>214.2</v>
      </c>
      <c r="J36" s="85">
        <f t="shared" ca="1" si="27"/>
        <v>247.19999999999996</v>
      </c>
      <c r="K36" s="85">
        <f t="shared" ca="1" si="27"/>
        <v>280.2</v>
      </c>
      <c r="L36" s="85">
        <f t="shared" ca="1" si="27"/>
        <v>313.2</v>
      </c>
      <c r="M36" s="85">
        <f t="shared" ca="1" si="27"/>
        <v>350.08650963597427</v>
      </c>
      <c r="N36" s="85">
        <f t="shared" ca="1" si="27"/>
        <v>391.31725488218109</v>
      </c>
      <c r="O36" s="85">
        <f t="shared" ca="1" si="27"/>
        <v>437.40386948286624</v>
      </c>
      <c r="P36" s="85">
        <f t="shared" ca="1" si="27"/>
        <v>488.91824383309677</v>
      </c>
      <c r="Q36" s="85">
        <f t="shared" ca="1" si="27"/>
        <v>546.4996215864594</v>
      </c>
      <c r="R36" s="85">
        <f t="shared" ca="1" si="27"/>
        <v>610.86253205167407</v>
      </c>
    </row>
    <row r="37" spans="1:18">
      <c r="A37" s="80" t="s">
        <v>114</v>
      </c>
      <c r="B37" s="147">
        <f>SUM(B33:B36)</f>
        <v>1505</v>
      </c>
      <c r="C37" s="147">
        <f t="shared" ref="C37:R37" si="28">SUM(C33:C36)</f>
        <v>1708</v>
      </c>
      <c r="D37" s="147">
        <f t="shared" si="28"/>
        <v>2456</v>
      </c>
      <c r="E37" s="169">
        <f t="shared" si="28"/>
        <v>790.91899999999998</v>
      </c>
      <c r="F37" s="195">
        <f t="shared" si="28"/>
        <v>847.43899999999996</v>
      </c>
      <c r="G37" s="195">
        <f t="shared" si="28"/>
        <v>860.72299999999996</v>
      </c>
      <c r="H37" s="178">
        <f t="shared" ca="1" si="28"/>
        <v>882.20225131634061</v>
      </c>
      <c r="I37" s="147">
        <f t="shared" ca="1" si="28"/>
        <v>3381.2832513163407</v>
      </c>
      <c r="J37" s="147">
        <f t="shared" ca="1" si="28"/>
        <v>4268.0020856347846</v>
      </c>
      <c r="K37" s="147">
        <f t="shared" ca="1" si="28"/>
        <v>5224.9939632893347</v>
      </c>
      <c r="L37" s="147">
        <f t="shared" ca="1" si="28"/>
        <v>6302.1616785357246</v>
      </c>
      <c r="M37" s="147">
        <f t="shared" ca="1" si="28"/>
        <v>7112.0101484289644</v>
      </c>
      <c r="N37" s="147">
        <f t="shared" ca="1" si="28"/>
        <v>7936.1614204808502</v>
      </c>
      <c r="O37" s="147">
        <f t="shared" ca="1" si="28"/>
        <v>8708.0580877484172</v>
      </c>
      <c r="P37" s="147">
        <f t="shared" ca="1" si="28"/>
        <v>9399.4448124867668</v>
      </c>
      <c r="Q37" s="147">
        <f t="shared" ca="1" si="28"/>
        <v>10059.238227363821</v>
      </c>
      <c r="R37" s="147">
        <f t="shared" ca="1" si="28"/>
        <v>10708.265057964709</v>
      </c>
    </row>
    <row r="38" spans="1:18">
      <c r="A38" s="77"/>
      <c r="E38" s="9"/>
      <c r="H38" s="8"/>
      <c r="I38" s="100"/>
      <c r="J38" s="100"/>
      <c r="K38" s="100"/>
      <c r="L38" s="100"/>
      <c r="M38" s="100"/>
      <c r="N38" s="100"/>
      <c r="O38" s="100"/>
      <c r="P38" s="100"/>
      <c r="Q38" s="100"/>
      <c r="R38" s="100"/>
    </row>
    <row r="39" spans="1:18">
      <c r="A39" s="20" t="s">
        <v>151</v>
      </c>
      <c r="E39" s="9"/>
      <c r="H39" s="8"/>
    </row>
    <row r="40" spans="1:18">
      <c r="A40" s="77" t="s">
        <v>139</v>
      </c>
      <c r="B40" s="97">
        <v>483</v>
      </c>
      <c r="C40" s="97">
        <v>437</v>
      </c>
      <c r="D40" s="97">
        <v>800</v>
      </c>
      <c r="E40" s="168">
        <f>((E27*E20)-E66)/2</f>
        <v>209.41900000000001</v>
      </c>
      <c r="F40" s="100">
        <f t="shared" ref="F40:G40" si="29">((F27*F20)-F66)/2</f>
        <v>190.50399999999996</v>
      </c>
      <c r="G40" s="100">
        <f t="shared" si="29"/>
        <v>173.03399999999999</v>
      </c>
      <c r="H40" s="171">
        <f>I40-SUM(E40:G40)</f>
        <v>176.83296189838859</v>
      </c>
      <c r="I40" s="84">
        <f t="shared" ref="I40:R40" si="30">I20*I47</f>
        <v>749.78996189838858</v>
      </c>
      <c r="J40" s="84">
        <f t="shared" si="30"/>
        <v>808.07669760370243</v>
      </c>
      <c r="K40" s="84">
        <f t="shared" si="30"/>
        <v>868.4940886250489</v>
      </c>
      <c r="L40" s="84">
        <f t="shared" si="30"/>
        <v>921.98323336328599</v>
      </c>
      <c r="M40" s="84">
        <f t="shared" si="30"/>
        <v>945.8002766697814</v>
      </c>
      <c r="N40" s="84">
        <f t="shared" si="30"/>
        <v>939.74340857292611</v>
      </c>
      <c r="O40" s="84">
        <f t="shared" si="30"/>
        <v>912.86390719585575</v>
      </c>
      <c r="P40" s="84">
        <f t="shared" si="30"/>
        <v>867.68214660297008</v>
      </c>
      <c r="Q40" s="84">
        <f t="shared" si="30"/>
        <v>813.05978651002476</v>
      </c>
      <c r="R40" s="84">
        <f t="shared" si="30"/>
        <v>746.95172465341443</v>
      </c>
    </row>
    <row r="41" spans="1:18">
      <c r="A41" s="77" t="s">
        <v>140</v>
      </c>
      <c r="B41" s="97">
        <v>394</v>
      </c>
      <c r="C41" s="97">
        <v>100</v>
      </c>
      <c r="D41" s="97">
        <v>82</v>
      </c>
      <c r="E41" s="168">
        <f t="shared" ref="E41:G41" si="31">((E28*E21)-E67)/2</f>
        <v>41.578000000000003</v>
      </c>
      <c r="F41" s="100">
        <f t="shared" si="31"/>
        <v>39.56</v>
      </c>
      <c r="G41" s="100">
        <f t="shared" si="31"/>
        <v>37.976000000000013</v>
      </c>
      <c r="H41" s="171">
        <f t="shared" ref="H41:H44" si="32">I41-SUM(E41:G41)</f>
        <v>49.627592442062692</v>
      </c>
      <c r="I41" s="84">
        <f t="shared" ref="I41:Q41" si="33">I21*I48</f>
        <v>168.74159244206271</v>
      </c>
      <c r="J41" s="84">
        <f t="shared" si="33"/>
        <v>218.30967809853584</v>
      </c>
      <c r="K41" s="84">
        <f t="shared" si="33"/>
        <v>253.92093159072468</v>
      </c>
      <c r="L41" s="84">
        <f t="shared" si="33"/>
        <v>285.89068848432328</v>
      </c>
      <c r="M41" s="84">
        <f t="shared" si="33"/>
        <v>306.73931824216299</v>
      </c>
      <c r="N41" s="84">
        <f t="shared" si="33"/>
        <v>329.09508809175946</v>
      </c>
      <c r="O41" s="84">
        <f t="shared" si="33"/>
        <v>341.4590368608205</v>
      </c>
      <c r="P41" s="84">
        <f t="shared" si="33"/>
        <v>342.00250194525512</v>
      </c>
      <c r="Q41" s="84">
        <f t="shared" si="33"/>
        <v>332.39742878630182</v>
      </c>
      <c r="R41" s="84">
        <f>R21*R48</f>
        <v>316.37970754336584</v>
      </c>
    </row>
    <row r="42" spans="1:18">
      <c r="A42" s="77" t="s">
        <v>141</v>
      </c>
      <c r="B42" s="97">
        <v>244</v>
      </c>
      <c r="C42" s="97">
        <v>80</v>
      </c>
      <c r="D42" s="97">
        <v>80</v>
      </c>
      <c r="E42" s="168">
        <f t="shared" ref="E42:G42" si="34">((E29*E22)-E68)/2</f>
        <v>11.462500000000002</v>
      </c>
      <c r="F42" s="100">
        <f t="shared" si="34"/>
        <v>13.6555</v>
      </c>
      <c r="G42" s="100">
        <f t="shared" si="34"/>
        <v>11.851500000000001</v>
      </c>
      <c r="H42" s="171">
        <f t="shared" ca="1" si="32"/>
        <v>3.0640199999999993</v>
      </c>
      <c r="I42" s="84">
        <f t="shared" ref="I42:R42" ca="1" si="35">I22*I49</f>
        <v>40.033520000000003</v>
      </c>
      <c r="J42" s="84">
        <f t="shared" ca="1" si="35"/>
        <v>40.909253250000006</v>
      </c>
      <c r="K42" s="84">
        <f t="shared" ca="1" si="35"/>
        <v>41.618346973000008</v>
      </c>
      <c r="L42" s="84">
        <f t="shared" ca="1" si="35"/>
        <v>42.123712614815005</v>
      </c>
      <c r="M42" s="84">
        <f t="shared" ca="1" si="35"/>
        <v>42.382935461675409</v>
      </c>
      <c r="N42" s="84">
        <f t="shared" ca="1" si="35"/>
        <v>42.347616348790673</v>
      </c>
      <c r="O42" s="84">
        <f t="shared" ca="1" si="35"/>
        <v>41.962638018347121</v>
      </c>
      <c r="P42" s="84">
        <f t="shared" ca="1" si="35"/>
        <v>40.787684153833403</v>
      </c>
      <c r="Q42" s="84">
        <f t="shared" ca="1" si="35"/>
        <v>39.15617678768006</v>
      </c>
      <c r="R42" s="84">
        <f t="shared" ca="1" si="35"/>
        <v>37.002587064357655</v>
      </c>
    </row>
    <row r="43" spans="1:18">
      <c r="A43" s="81" t="s">
        <v>142</v>
      </c>
      <c r="B43" s="98">
        <v>-5</v>
      </c>
      <c r="C43" s="98">
        <v>0</v>
      </c>
      <c r="D43" s="98">
        <v>103</v>
      </c>
      <c r="E43" s="146">
        <f t="shared" ref="E43:G43" si="36">((E30*E23)-E69)/2</f>
        <v>19</v>
      </c>
      <c r="F43" s="85">
        <f t="shared" si="36"/>
        <v>19</v>
      </c>
      <c r="G43" s="85">
        <f t="shared" si="36"/>
        <v>16.5</v>
      </c>
      <c r="H43" s="176">
        <f t="shared" ca="1" si="32"/>
        <v>20.469999999999985</v>
      </c>
      <c r="I43" s="85">
        <f ca="1">I23*I50</f>
        <v>74.969999999999985</v>
      </c>
      <c r="J43" s="85">
        <f t="shared" ref="J43:R43" ca="1" si="37">J23*J50</f>
        <v>74.159999999999982</v>
      </c>
      <c r="K43" s="85">
        <f t="shared" ca="1" si="37"/>
        <v>77.054999999999993</v>
      </c>
      <c r="L43" s="85">
        <f t="shared" ca="1" si="37"/>
        <v>78.299999999999983</v>
      </c>
      <c r="M43" s="85">
        <f t="shared" ca="1" si="37"/>
        <v>78.769464668094201</v>
      </c>
      <c r="N43" s="85">
        <f t="shared" ca="1" si="37"/>
        <v>78.263450976436218</v>
      </c>
      <c r="O43" s="85">
        <f t="shared" ca="1" si="37"/>
        <v>76.545677159501594</v>
      </c>
      <c r="P43" s="85">
        <f t="shared" ca="1" si="37"/>
        <v>73.337736574964509</v>
      </c>
      <c r="Q43" s="85">
        <f t="shared" ca="1" si="37"/>
        <v>68.312452698307425</v>
      </c>
      <c r="R43" s="85">
        <f t="shared" ca="1" si="37"/>
        <v>61.086253205167409</v>
      </c>
    </row>
    <row r="44" spans="1:18">
      <c r="A44" s="80" t="s">
        <v>114</v>
      </c>
      <c r="B44" s="149">
        <f>SUM(B40:B43)</f>
        <v>1116</v>
      </c>
      <c r="C44" s="149">
        <f>SUM(C40:C43)</f>
        <v>617</v>
      </c>
      <c r="D44" s="149">
        <f>SUM(D40:D43)</f>
        <v>1065</v>
      </c>
      <c r="E44" s="169">
        <f>SUM(E40:E43)</f>
        <v>281.45949999999999</v>
      </c>
      <c r="F44" s="195">
        <f t="shared" ref="F44:G44" si="38">SUM(F40:F43)</f>
        <v>262.71949999999993</v>
      </c>
      <c r="G44" s="195">
        <f t="shared" si="38"/>
        <v>239.36149999999998</v>
      </c>
      <c r="H44" s="178">
        <f t="shared" ca="1" si="32"/>
        <v>249.99457434045144</v>
      </c>
      <c r="I44" s="109">
        <f ca="1">SUM(I40:I43)</f>
        <v>1033.5350743404513</v>
      </c>
      <c r="J44" s="109">
        <f t="shared" ref="J44:R44" ca="1" si="39">SUM(J40:J43)</f>
        <v>1141.4556289522382</v>
      </c>
      <c r="K44" s="109">
        <f t="shared" ca="1" si="39"/>
        <v>1241.0883671887736</v>
      </c>
      <c r="L44" s="109">
        <f t="shared" ca="1" si="39"/>
        <v>1328.2976344624244</v>
      </c>
      <c r="M44" s="109">
        <f t="shared" ca="1" si="39"/>
        <v>1373.6919950417141</v>
      </c>
      <c r="N44" s="109">
        <f t="shared" ca="1" si="39"/>
        <v>1389.4495639899126</v>
      </c>
      <c r="O44" s="109">
        <f t="shared" ca="1" si="39"/>
        <v>1372.8312592345251</v>
      </c>
      <c r="P44" s="109">
        <f t="shared" ca="1" si="39"/>
        <v>1323.8100692770231</v>
      </c>
      <c r="Q44" s="109">
        <f t="shared" ca="1" si="39"/>
        <v>1252.925844782314</v>
      </c>
      <c r="R44" s="109">
        <f t="shared" ca="1" si="39"/>
        <v>1161.4202724663053</v>
      </c>
    </row>
    <row r="45" spans="1:18" hidden="1" outlineLevel="1">
      <c r="E45" s="168"/>
      <c r="F45" s="100"/>
      <c r="G45" s="100"/>
      <c r="H45" s="8"/>
    </row>
    <row r="46" spans="1:18" hidden="1" outlineLevel="1">
      <c r="A46" s="20" t="s">
        <v>152</v>
      </c>
      <c r="E46" s="9"/>
      <c r="H46" s="8"/>
    </row>
    <row r="47" spans="1:18" hidden="1" outlineLevel="1">
      <c r="A47" s="77" t="s">
        <v>139</v>
      </c>
      <c r="B47" s="95">
        <f t="shared" ref="B47:H50" si="40">B40/B20</f>
        <v>0.16389548693586697</v>
      </c>
      <c r="C47" s="95">
        <f t="shared" si="40"/>
        <v>7.9919531821506948E-2</v>
      </c>
      <c r="D47" s="95">
        <f t="shared" si="40"/>
        <v>9.3786635404454866E-2</v>
      </c>
      <c r="E47" s="179">
        <f t="shared" si="40"/>
        <v>8.1740437158469945E-2</v>
      </c>
      <c r="F47" s="188">
        <f t="shared" si="40"/>
        <v>7.6940226171243922E-2</v>
      </c>
      <c r="G47" s="188">
        <f t="shared" si="40"/>
        <v>7.0944649446494465E-2</v>
      </c>
      <c r="H47" s="181">
        <f t="shared" si="40"/>
        <v>9.3297108135865253E-2</v>
      </c>
      <c r="I47" s="114">
        <v>0.08</v>
      </c>
      <c r="J47" s="172">
        <f>I47-0.005</f>
        <v>7.4999999999999997E-2</v>
      </c>
      <c r="K47" s="172">
        <f t="shared" ref="K47:R47" si="41">J47-0.005</f>
        <v>6.9999999999999993E-2</v>
      </c>
      <c r="L47" s="172">
        <f t="shared" si="41"/>
        <v>6.4999999999999988E-2</v>
      </c>
      <c r="M47" s="172">
        <f t="shared" si="41"/>
        <v>5.9999999999999991E-2</v>
      </c>
      <c r="N47" s="172">
        <f t="shared" si="41"/>
        <v>5.4999999999999993E-2</v>
      </c>
      <c r="O47" s="172">
        <f t="shared" si="41"/>
        <v>4.9999999999999996E-2</v>
      </c>
      <c r="P47" s="172">
        <f t="shared" si="41"/>
        <v>4.4999999999999998E-2</v>
      </c>
      <c r="Q47" s="172">
        <f t="shared" si="41"/>
        <v>0.04</v>
      </c>
      <c r="R47" s="172">
        <f t="shared" si="41"/>
        <v>3.5000000000000003E-2</v>
      </c>
    </row>
    <row r="48" spans="1:18" hidden="1" outlineLevel="1">
      <c r="A48" s="77" t="s">
        <v>140</v>
      </c>
      <c r="B48" s="95">
        <f t="shared" si="40"/>
        <v>6.8941382327209103E-2</v>
      </c>
      <c r="C48" s="95">
        <f t="shared" si="40"/>
        <v>3.094059405940594E-2</v>
      </c>
      <c r="D48" s="95">
        <f t="shared" si="40"/>
        <v>2.942231790455687E-2</v>
      </c>
      <c r="E48" s="179">
        <f t="shared" si="40"/>
        <v>4.9853717026378898E-2</v>
      </c>
      <c r="F48" s="188">
        <f t="shared" si="40"/>
        <v>3.8222222222222227E-2</v>
      </c>
      <c r="G48" s="188">
        <f t="shared" si="40"/>
        <v>3.4968692449355444E-2</v>
      </c>
      <c r="H48" s="181">
        <f t="shared" si="40"/>
        <v>5.1696047986319327E-2</v>
      </c>
      <c r="I48" s="114">
        <f>AVERAGE(B48:D48)</f>
        <v>4.3101431430390635E-2</v>
      </c>
      <c r="J48" s="172">
        <f>I48-0.0025</f>
        <v>4.0601431430390633E-2</v>
      </c>
      <c r="K48" s="172">
        <f t="shared" ref="K48:R48" si="42">J48-0.0025</f>
        <v>3.8101431430390631E-2</v>
      </c>
      <c r="L48" s="172">
        <f t="shared" si="42"/>
        <v>3.5601431430390629E-2</v>
      </c>
      <c r="M48" s="172">
        <f t="shared" si="42"/>
        <v>3.3101431430390627E-2</v>
      </c>
      <c r="N48" s="172">
        <f t="shared" si="42"/>
        <v>3.0601431430390628E-2</v>
      </c>
      <c r="O48" s="172">
        <f t="shared" si="42"/>
        <v>2.8101431430390629E-2</v>
      </c>
      <c r="P48" s="172">
        <f t="shared" si="42"/>
        <v>2.560143143039063E-2</v>
      </c>
      <c r="Q48" s="172">
        <f t="shared" si="42"/>
        <v>2.3101431430390632E-2</v>
      </c>
      <c r="R48" s="172">
        <f t="shared" si="42"/>
        <v>2.0601431430390633E-2</v>
      </c>
    </row>
    <row r="49" spans="1:18" hidden="1" outlineLevel="1">
      <c r="A49" s="77" t="s">
        <v>141</v>
      </c>
      <c r="B49" s="95">
        <f t="shared" si="40"/>
        <v>6.8175468007823412E-2</v>
      </c>
      <c r="C49" s="95">
        <f t="shared" si="40"/>
        <v>2.1344717182497332E-2</v>
      </c>
      <c r="D49" s="95">
        <f t="shared" si="40"/>
        <v>1.7425397516880853E-2</v>
      </c>
      <c r="E49" s="179">
        <f t="shared" si="40"/>
        <v>8.446941783345617E-3</v>
      </c>
      <c r="F49" s="188">
        <f t="shared" si="40"/>
        <v>9.1463496316142E-3</v>
      </c>
      <c r="G49" s="188">
        <f t="shared" si="40"/>
        <v>7.8642999336429997E-3</v>
      </c>
      <c r="H49" s="181">
        <f t="shared" ca="1" si="40"/>
        <v>4.7343438557456031E-3</v>
      </c>
      <c r="I49" s="114">
        <v>8.0000000000000002E-3</v>
      </c>
      <c r="J49" s="172">
        <f>I49-0.0005</f>
        <v>7.4999999999999997E-3</v>
      </c>
      <c r="K49" s="172">
        <f t="shared" ref="K49:R49" si="43">J49-0.0005</f>
        <v>6.9999999999999993E-3</v>
      </c>
      <c r="L49" s="172">
        <f t="shared" si="43"/>
        <v>6.4999999999999988E-3</v>
      </c>
      <c r="M49" s="172">
        <f t="shared" si="43"/>
        <v>5.9999999999999984E-3</v>
      </c>
      <c r="N49" s="172">
        <f t="shared" si="43"/>
        <v>5.4999999999999979E-3</v>
      </c>
      <c r="O49" s="172">
        <f t="shared" si="43"/>
        <v>4.9999999999999975E-3</v>
      </c>
      <c r="P49" s="172">
        <f t="shared" si="43"/>
        <v>4.4999999999999971E-3</v>
      </c>
      <c r="Q49" s="172">
        <f t="shared" si="43"/>
        <v>3.9999999999999966E-3</v>
      </c>
      <c r="R49" s="172">
        <f t="shared" si="43"/>
        <v>3.4999999999999966E-3</v>
      </c>
    </row>
    <row r="50" spans="1:18" hidden="1" outlineLevel="1">
      <c r="A50" s="81" t="s">
        <v>142</v>
      </c>
      <c r="B50" s="96">
        <f t="shared" si="40"/>
        <v>-0.55555555555555558</v>
      </c>
      <c r="C50" s="96">
        <f t="shared" si="40"/>
        <v>0</v>
      </c>
      <c r="D50" s="96">
        <f>D43/D23</f>
        <v>0.67320261437908502</v>
      </c>
      <c r="E50" s="180">
        <f>E43/E23</f>
        <v>0.36538461538461536</v>
      </c>
      <c r="F50" s="87">
        <f t="shared" si="40"/>
        <v>0.36538461538461536</v>
      </c>
      <c r="G50" s="87">
        <f t="shared" si="40"/>
        <v>0.34375</v>
      </c>
      <c r="H50" s="182">
        <f t="shared" ca="1" si="40"/>
        <v>0.32909967845659144</v>
      </c>
      <c r="I50" s="155">
        <v>0.35</v>
      </c>
      <c r="J50" s="155">
        <v>0.3</v>
      </c>
      <c r="K50" s="174">
        <f>J50-0.025</f>
        <v>0.27499999999999997</v>
      </c>
      <c r="L50" s="174">
        <f t="shared" ref="L50:R50" si="44">K50-0.025</f>
        <v>0.24999999999999997</v>
      </c>
      <c r="M50" s="174">
        <f t="shared" si="44"/>
        <v>0.22499999999999998</v>
      </c>
      <c r="N50" s="174">
        <f t="shared" si="44"/>
        <v>0.19999999999999998</v>
      </c>
      <c r="O50" s="174">
        <f t="shared" si="44"/>
        <v>0.17499999999999999</v>
      </c>
      <c r="P50" s="174">
        <f t="shared" si="44"/>
        <v>0.15</v>
      </c>
      <c r="Q50" s="174">
        <f t="shared" si="44"/>
        <v>0.125</v>
      </c>
      <c r="R50" s="174">
        <f t="shared" si="44"/>
        <v>0.1</v>
      </c>
    </row>
    <row r="51" spans="1:18" collapsed="1">
      <c r="E51" s="9"/>
      <c r="H51" s="8"/>
    </row>
    <row r="52" spans="1:18">
      <c r="A52" s="20" t="s">
        <v>153</v>
      </c>
      <c r="E52" s="168"/>
      <c r="F52" s="100"/>
      <c r="G52" s="100"/>
      <c r="H52" s="8"/>
    </row>
    <row r="53" spans="1:18">
      <c r="A53" s="77" t="s">
        <v>139</v>
      </c>
      <c r="B53" s="97">
        <v>477</v>
      </c>
      <c r="C53" s="97">
        <v>466</v>
      </c>
      <c r="D53" s="97">
        <v>602</v>
      </c>
      <c r="E53" s="168">
        <f>((E20*E27)-E66)/2</f>
        <v>209.41900000000001</v>
      </c>
      <c r="F53" s="100">
        <f t="shared" ref="F53:G53" si="45">((F20*F27)-F66)/2</f>
        <v>190.50399999999996</v>
      </c>
      <c r="G53" s="100">
        <f t="shared" si="45"/>
        <v>173.03399999999999</v>
      </c>
      <c r="H53" s="170">
        <f t="shared" ref="H53:H57" si="46">I53-SUM(E53:G53)</f>
        <v>176.83296189838859</v>
      </c>
      <c r="I53" s="84">
        <f>I20*I60</f>
        <v>749.78996189838858</v>
      </c>
      <c r="J53" s="84">
        <f t="shared" ref="J53:R53" si="47">J20*J60</f>
        <v>808.07669760370243</v>
      </c>
      <c r="K53" s="84">
        <f t="shared" si="47"/>
        <v>868.4940886250489</v>
      </c>
      <c r="L53" s="84">
        <f t="shared" si="47"/>
        <v>921.98323336328599</v>
      </c>
      <c r="M53" s="84">
        <f t="shared" si="47"/>
        <v>945.8002766697814</v>
      </c>
      <c r="N53" s="84">
        <f t="shared" si="47"/>
        <v>939.74340857292611</v>
      </c>
      <c r="O53" s="84">
        <f t="shared" si="47"/>
        <v>912.86390719585575</v>
      </c>
      <c r="P53" s="84">
        <f t="shared" si="47"/>
        <v>867.68214660297008</v>
      </c>
      <c r="Q53" s="84">
        <f t="shared" si="47"/>
        <v>813.05978651002476</v>
      </c>
      <c r="R53" s="84">
        <f t="shared" si="47"/>
        <v>746.95172465341443</v>
      </c>
    </row>
    <row r="54" spans="1:18">
      <c r="A54" s="77" t="s">
        <v>140</v>
      </c>
      <c r="B54" s="97">
        <v>743</v>
      </c>
      <c r="C54" s="97">
        <v>151</v>
      </c>
      <c r="D54" s="97">
        <v>114</v>
      </c>
      <c r="E54" s="168">
        <f t="shared" ref="E54:G54" si="48">((E21*E28)-E67)/2</f>
        <v>41.578000000000003</v>
      </c>
      <c r="F54" s="100">
        <f t="shared" si="48"/>
        <v>39.56</v>
      </c>
      <c r="G54" s="100">
        <f t="shared" si="48"/>
        <v>37.976000000000013</v>
      </c>
      <c r="H54" s="170">
        <f t="shared" si="46"/>
        <v>41.02544988735788</v>
      </c>
      <c r="I54" s="84">
        <f t="shared" ref="I54:R54" si="49">I21*I61</f>
        <v>160.1394498873579</v>
      </c>
      <c r="J54" s="84">
        <f t="shared" si="49"/>
        <v>206.49538258315138</v>
      </c>
      <c r="K54" s="84">
        <f t="shared" si="49"/>
        <v>239.27781917293018</v>
      </c>
      <c r="L54" s="84">
        <f t="shared" si="49"/>
        <v>268.24621366722397</v>
      </c>
      <c r="M54" s="84">
        <f t="shared" si="49"/>
        <v>286.37832972347445</v>
      </c>
      <c r="N54" s="84">
        <f t="shared" si="49"/>
        <v>305.46551669634613</v>
      </c>
      <c r="O54" s="84">
        <f t="shared" si="49"/>
        <v>314.7605680856683</v>
      </c>
      <c r="P54" s="84">
        <f t="shared" si="49"/>
        <v>312.6502639173778</v>
      </c>
      <c r="Q54" s="84">
        <f t="shared" si="49"/>
        <v>300.7823003405436</v>
      </c>
      <c r="R54" s="84">
        <f t="shared" si="49"/>
        <v>282.63641874773543</v>
      </c>
    </row>
    <row r="55" spans="1:18">
      <c r="A55" s="77" t="s">
        <v>141</v>
      </c>
      <c r="B55" s="97">
        <v>13</v>
      </c>
      <c r="C55" s="97">
        <v>3</v>
      </c>
      <c r="D55" s="97">
        <v>0</v>
      </c>
      <c r="E55" s="168">
        <f t="shared" ref="E55:G55" si="50">((E22*E29)-E68)/2</f>
        <v>11.462500000000002</v>
      </c>
      <c r="F55" s="100">
        <f t="shared" si="50"/>
        <v>13.6555</v>
      </c>
      <c r="G55" s="100">
        <f t="shared" si="50"/>
        <v>11.851500000000001</v>
      </c>
      <c r="H55" s="170">
        <f t="shared" ca="1" si="46"/>
        <v>-29.57543159318325</v>
      </c>
      <c r="I55" s="84">
        <f ca="1">I22*I62</f>
        <v>7.3940684068167526</v>
      </c>
      <c r="J55" s="84">
        <f t="shared" ref="J55:R55" ca="1" si="51">J22*J62</f>
        <v>0</v>
      </c>
      <c r="K55" s="84">
        <f t="shared" ca="1" si="51"/>
        <v>0</v>
      </c>
      <c r="L55" s="84">
        <f t="shared" ca="1" si="51"/>
        <v>0</v>
      </c>
      <c r="M55" s="84">
        <f t="shared" ca="1" si="51"/>
        <v>0</v>
      </c>
      <c r="N55" s="84">
        <f t="shared" ca="1" si="51"/>
        <v>0</v>
      </c>
      <c r="O55" s="84">
        <f t="shared" ca="1" si="51"/>
        <v>0</v>
      </c>
      <c r="P55" s="84">
        <f t="shared" ca="1" si="51"/>
        <v>0</v>
      </c>
      <c r="Q55" s="84">
        <f t="shared" ca="1" si="51"/>
        <v>0</v>
      </c>
      <c r="R55" s="84">
        <f t="shared" ca="1" si="51"/>
        <v>0</v>
      </c>
    </row>
    <row r="56" spans="1:18">
      <c r="A56" s="81" t="s">
        <v>142</v>
      </c>
      <c r="B56" s="98">
        <v>1</v>
      </c>
      <c r="C56" s="98">
        <v>2</v>
      </c>
      <c r="D56" s="98">
        <v>0</v>
      </c>
      <c r="E56" s="146">
        <f t="shared" ref="E56:G56" si="52">((E23*E30)-E69)/2</f>
        <v>19</v>
      </c>
      <c r="F56" s="85">
        <f t="shared" si="52"/>
        <v>19</v>
      </c>
      <c r="G56" s="85">
        <f t="shared" si="52"/>
        <v>16.5</v>
      </c>
      <c r="H56" s="175">
        <f t="shared" ca="1" si="46"/>
        <v>20.469999999999985</v>
      </c>
      <c r="I56" s="85">
        <f t="shared" ref="I56:R56" ca="1" si="53">I23*I63</f>
        <v>74.969999999999985</v>
      </c>
      <c r="J56" s="85">
        <f t="shared" ca="1" si="53"/>
        <v>74.159999999999982</v>
      </c>
      <c r="K56" s="85">
        <f t="shared" ca="1" si="53"/>
        <v>84.059999999999988</v>
      </c>
      <c r="L56" s="85">
        <f t="shared" ca="1" si="53"/>
        <v>93.96</v>
      </c>
      <c r="M56" s="85">
        <f t="shared" ca="1" si="53"/>
        <v>105.02595289079228</v>
      </c>
      <c r="N56" s="85">
        <f t="shared" ca="1" si="53"/>
        <v>117.39517646465433</v>
      </c>
      <c r="O56" s="85">
        <f t="shared" ca="1" si="53"/>
        <v>131.22116084485987</v>
      </c>
      <c r="P56" s="85">
        <f t="shared" ca="1" si="53"/>
        <v>146.67547314992902</v>
      </c>
      <c r="Q56" s="85">
        <f t="shared" ca="1" si="53"/>
        <v>163.9498864759378</v>
      </c>
      <c r="R56" s="85">
        <f t="shared" ca="1" si="53"/>
        <v>183.25875961550221</v>
      </c>
    </row>
    <row r="57" spans="1:18">
      <c r="A57" s="80" t="s">
        <v>114</v>
      </c>
      <c r="B57" s="149">
        <f>SUM(B53:B56)</f>
        <v>1234</v>
      </c>
      <c r="C57" s="149">
        <f>SUM(C53:C56)</f>
        <v>622</v>
      </c>
      <c r="D57" s="149">
        <f>SUM(D53:D56)</f>
        <v>716</v>
      </c>
      <c r="E57" s="169">
        <f>SUM(E53:E56)</f>
        <v>281.45949999999999</v>
      </c>
      <c r="F57" s="195">
        <f t="shared" ref="F57:G57" si="54">SUM(F53:F56)</f>
        <v>262.71949999999993</v>
      </c>
      <c r="G57" s="195">
        <f t="shared" si="54"/>
        <v>239.36149999999998</v>
      </c>
      <c r="H57" s="177">
        <f t="shared" ca="1" si="46"/>
        <v>208.75298019256331</v>
      </c>
      <c r="I57" s="109">
        <f ca="1">SUM(I53:I56)</f>
        <v>992.29348019256315</v>
      </c>
      <c r="J57" s="109">
        <f t="shared" ref="J57:R57" ca="1" si="55">SUM(J53:J56)</f>
        <v>1088.7320801868539</v>
      </c>
      <c r="K57" s="109">
        <f t="shared" ca="1" si="55"/>
        <v>1191.8319077979791</v>
      </c>
      <c r="L57" s="109">
        <f t="shared" ca="1" si="55"/>
        <v>1284.1894470305101</v>
      </c>
      <c r="M57" s="109">
        <f t="shared" ca="1" si="55"/>
        <v>1337.2045592840482</v>
      </c>
      <c r="N57" s="109">
        <f t="shared" ca="1" si="55"/>
        <v>1362.6041017339264</v>
      </c>
      <c r="O57" s="109">
        <f t="shared" ca="1" si="55"/>
        <v>1358.8456361263841</v>
      </c>
      <c r="P57" s="109">
        <f t="shared" ca="1" si="55"/>
        <v>1327.0078836702769</v>
      </c>
      <c r="Q57" s="109">
        <f t="shared" ca="1" si="55"/>
        <v>1277.7919733265062</v>
      </c>
      <c r="R57" s="109">
        <f t="shared" ca="1" si="55"/>
        <v>1212.846903016652</v>
      </c>
    </row>
    <row r="58" spans="1:18" hidden="1" outlineLevel="1">
      <c r="E58" s="9"/>
      <c r="H58" s="8"/>
    </row>
    <row r="59" spans="1:18" hidden="1" outlineLevel="1">
      <c r="A59" s="91" t="s">
        <v>154</v>
      </c>
      <c r="B59" s="90"/>
      <c r="C59" s="90"/>
      <c r="D59" s="90"/>
      <c r="E59" s="9"/>
      <c r="H59" s="8"/>
    </row>
    <row r="60" spans="1:18" hidden="1" outlineLevel="1">
      <c r="A60" s="89" t="s">
        <v>139</v>
      </c>
      <c r="B60" s="92">
        <f t="shared" ref="B60:H63" si="56">B53/B20</f>
        <v>0.16185951815405497</v>
      </c>
      <c r="C60" s="92">
        <f t="shared" si="56"/>
        <v>8.5223116313094371E-2</v>
      </c>
      <c r="D60" s="92">
        <f>D53/D20</f>
        <v>7.0574443141852281E-2</v>
      </c>
      <c r="E60" s="179">
        <f>E53/E20</f>
        <v>8.1740437158469945E-2</v>
      </c>
      <c r="F60" s="188">
        <f t="shared" si="56"/>
        <v>7.6940226171243922E-2</v>
      </c>
      <c r="G60" s="188">
        <f t="shared" si="56"/>
        <v>7.0944649446494465E-2</v>
      </c>
      <c r="H60" s="181">
        <f t="shared" si="56"/>
        <v>9.3297108135865253E-2</v>
      </c>
      <c r="I60" s="114">
        <v>0.08</v>
      </c>
      <c r="J60" s="172">
        <f>I60-0.005</f>
        <v>7.4999999999999997E-2</v>
      </c>
      <c r="K60" s="172">
        <f t="shared" ref="K60:R60" si="57">J60-0.005</f>
        <v>6.9999999999999993E-2</v>
      </c>
      <c r="L60" s="172">
        <f t="shared" si="57"/>
        <v>6.4999999999999988E-2</v>
      </c>
      <c r="M60" s="172">
        <f t="shared" si="57"/>
        <v>5.9999999999999991E-2</v>
      </c>
      <c r="N60" s="172">
        <f t="shared" si="57"/>
        <v>5.4999999999999993E-2</v>
      </c>
      <c r="O60" s="172">
        <f t="shared" si="57"/>
        <v>4.9999999999999996E-2</v>
      </c>
      <c r="P60" s="172">
        <f t="shared" si="57"/>
        <v>4.4999999999999998E-2</v>
      </c>
      <c r="Q60" s="172">
        <f t="shared" si="57"/>
        <v>0.04</v>
      </c>
      <c r="R60" s="172">
        <f t="shared" si="57"/>
        <v>3.5000000000000003E-2</v>
      </c>
    </row>
    <row r="61" spans="1:18" hidden="1" outlineLevel="1">
      <c r="A61" s="89" t="s">
        <v>140</v>
      </c>
      <c r="B61" s="92">
        <f t="shared" si="56"/>
        <v>0.1300087489063867</v>
      </c>
      <c r="C61" s="92">
        <f t="shared" si="56"/>
        <v>4.672029702970297E-2</v>
      </c>
      <c r="D61" s="92">
        <f t="shared" si="56"/>
        <v>4.0904198062432721E-2</v>
      </c>
      <c r="E61" s="179">
        <f t="shared" si="56"/>
        <v>4.9853717026378898E-2</v>
      </c>
      <c r="F61" s="188">
        <f t="shared" si="56"/>
        <v>3.8222222222222227E-2</v>
      </c>
      <c r="G61" s="188">
        <f t="shared" si="56"/>
        <v>3.4968692449355444E-2</v>
      </c>
      <c r="H61" s="181">
        <f t="shared" si="56"/>
        <v>4.2735372031459398E-2</v>
      </c>
      <c r="I61" s="114">
        <f>D61</f>
        <v>4.0904198062432721E-2</v>
      </c>
      <c r="J61" s="172">
        <f>I61-0.0025</f>
        <v>3.8404198062432719E-2</v>
      </c>
      <c r="K61" s="172">
        <f t="shared" ref="K61:R61" si="58">J61-0.0025</f>
        <v>3.5904198062432717E-2</v>
      </c>
      <c r="L61" s="172">
        <f t="shared" si="58"/>
        <v>3.3404198062432715E-2</v>
      </c>
      <c r="M61" s="172">
        <f t="shared" si="58"/>
        <v>3.0904198062432716E-2</v>
      </c>
      <c r="N61" s="172">
        <f t="shared" si="58"/>
        <v>2.8404198062432717E-2</v>
      </c>
      <c r="O61" s="172">
        <f t="shared" si="58"/>
        <v>2.5904198062432719E-2</v>
      </c>
      <c r="P61" s="172">
        <f t="shared" si="58"/>
        <v>2.340419806243272E-2</v>
      </c>
      <c r="Q61" s="172">
        <f t="shared" si="58"/>
        <v>2.0904198062432721E-2</v>
      </c>
      <c r="R61" s="172">
        <f t="shared" si="58"/>
        <v>1.8404198062432722E-2</v>
      </c>
    </row>
    <row r="62" spans="1:18" hidden="1" outlineLevel="1">
      <c r="A62" s="89" t="s">
        <v>141</v>
      </c>
      <c r="B62" s="92">
        <f t="shared" si="56"/>
        <v>3.6322995250069852E-3</v>
      </c>
      <c r="C62" s="92">
        <f t="shared" si="56"/>
        <v>8.0042689434364994E-4</v>
      </c>
      <c r="D62" s="92">
        <f t="shared" si="56"/>
        <v>0</v>
      </c>
      <c r="E62" s="179">
        <f t="shared" si="56"/>
        <v>8.446941783345617E-3</v>
      </c>
      <c r="F62" s="188">
        <f t="shared" si="56"/>
        <v>9.1463496316142E-3</v>
      </c>
      <c r="G62" s="188">
        <f t="shared" si="56"/>
        <v>7.8642999336429997E-3</v>
      </c>
      <c r="H62" s="181">
        <f t="shared" ca="1" si="56"/>
        <v>-4.5698220913770647E-2</v>
      </c>
      <c r="I62" s="114">
        <f>AVERAGE($B62:$D62)</f>
        <v>1.4775754731168784E-3</v>
      </c>
      <c r="J62" s="172">
        <v>0</v>
      </c>
      <c r="K62" s="172">
        <v>0</v>
      </c>
      <c r="L62" s="172">
        <v>0</v>
      </c>
      <c r="M62" s="172">
        <v>0</v>
      </c>
      <c r="N62" s="172">
        <v>0</v>
      </c>
      <c r="O62" s="172">
        <v>0</v>
      </c>
      <c r="P62" s="172">
        <v>0</v>
      </c>
      <c r="Q62" s="172">
        <v>0</v>
      </c>
      <c r="R62" s="172">
        <v>0</v>
      </c>
    </row>
    <row r="63" spans="1:18" hidden="1" outlineLevel="1">
      <c r="A63" s="93" t="s">
        <v>142</v>
      </c>
      <c r="B63" s="94">
        <f>B56/B23</f>
        <v>0.1111111111111111</v>
      </c>
      <c r="C63" s="94">
        <f t="shared" si="56"/>
        <v>4.5454545454545456E-2</v>
      </c>
      <c r="D63" s="94">
        <f t="shared" si="56"/>
        <v>0</v>
      </c>
      <c r="E63" s="180">
        <f>E56/E23</f>
        <v>0.36538461538461536</v>
      </c>
      <c r="F63" s="87">
        <f t="shared" si="56"/>
        <v>0.36538461538461536</v>
      </c>
      <c r="G63" s="87">
        <f t="shared" si="56"/>
        <v>0.34375</v>
      </c>
      <c r="H63" s="182">
        <f t="shared" ca="1" si="56"/>
        <v>0.32909967845659144</v>
      </c>
      <c r="I63" s="155">
        <v>0.35</v>
      </c>
      <c r="J63" s="155">
        <v>0.3</v>
      </c>
      <c r="K63" s="174">
        <f t="shared" ref="K63:R63" si="59">J63</f>
        <v>0.3</v>
      </c>
      <c r="L63" s="174">
        <f t="shared" si="59"/>
        <v>0.3</v>
      </c>
      <c r="M63" s="174">
        <f t="shared" si="59"/>
        <v>0.3</v>
      </c>
      <c r="N63" s="174">
        <f t="shared" si="59"/>
        <v>0.3</v>
      </c>
      <c r="O63" s="174">
        <f t="shared" si="59"/>
        <v>0.3</v>
      </c>
      <c r="P63" s="174">
        <f t="shared" si="59"/>
        <v>0.3</v>
      </c>
      <c r="Q63" s="174">
        <f t="shared" si="59"/>
        <v>0.3</v>
      </c>
      <c r="R63" s="174">
        <f t="shared" si="59"/>
        <v>0.3</v>
      </c>
    </row>
    <row r="64" spans="1:18" collapsed="1">
      <c r="A64" s="89"/>
      <c r="B64" s="187"/>
      <c r="C64" s="187"/>
      <c r="D64" s="187"/>
      <c r="E64" s="191"/>
      <c r="F64" s="192"/>
      <c r="G64" s="192"/>
      <c r="H64" s="193"/>
      <c r="I64" s="192"/>
      <c r="J64" s="192"/>
      <c r="K64" s="192"/>
      <c r="L64" s="192"/>
      <c r="M64" s="192"/>
      <c r="N64" s="192"/>
      <c r="O64" s="192"/>
      <c r="P64" s="192"/>
      <c r="Q64" s="192"/>
      <c r="R64" s="192"/>
    </row>
    <row r="65" spans="1:19">
      <c r="A65" s="189" t="s">
        <v>155</v>
      </c>
      <c r="E65" s="9"/>
      <c r="H65" s="8"/>
    </row>
    <row r="66" spans="1:19">
      <c r="A66" s="77" t="s">
        <v>139</v>
      </c>
      <c r="B66" s="88">
        <f>B33-B40-B53</f>
        <v>-638</v>
      </c>
      <c r="C66">
        <f t="shared" ref="C66:D66" si="60">C33-C40-C53</f>
        <v>5.0000000000001137</v>
      </c>
      <c r="D66">
        <f t="shared" si="60"/>
        <v>148</v>
      </c>
      <c r="E66" s="9">
        <f>E73</f>
        <v>91</v>
      </c>
      <c r="F66">
        <f t="shared" ref="F66:G66" si="61">F73</f>
        <v>134</v>
      </c>
      <c r="G66">
        <f t="shared" si="61"/>
        <v>171</v>
      </c>
      <c r="H66" s="8"/>
      <c r="I66" s="84">
        <f t="shared" ref="I66:R66" si="62">I33-I40-I53</f>
        <v>562.34247142379127</v>
      </c>
      <c r="J66" s="84">
        <f t="shared" si="62"/>
        <v>861.9484774439494</v>
      </c>
      <c r="K66" s="84">
        <f t="shared" si="62"/>
        <v>1240.7058408929279</v>
      </c>
      <c r="L66" s="84">
        <f t="shared" si="62"/>
        <v>1702.1228923629903</v>
      </c>
      <c r="M66" s="84">
        <f t="shared" si="62"/>
        <v>2049.233932784527</v>
      </c>
      <c r="N66" s="84">
        <f t="shared" si="62"/>
        <v>2392.0741309129035</v>
      </c>
      <c r="O66" s="84">
        <f t="shared" si="62"/>
        <v>2738.591721587567</v>
      </c>
      <c r="P66" s="84">
        <f t="shared" si="62"/>
        <v>3085.0920768105607</v>
      </c>
      <c r="Q66" s="84">
        <f t="shared" si="62"/>
        <v>3455.5040926676052</v>
      </c>
      <c r="R66" s="84">
        <f t="shared" si="62"/>
        <v>3841.4660125032742</v>
      </c>
      <c r="S66" s="86"/>
    </row>
    <row r="67" spans="1:19">
      <c r="A67" s="77" t="s">
        <v>140</v>
      </c>
      <c r="B67">
        <f t="shared" ref="B67:D67" si="63">B34-B41-B54</f>
        <v>9</v>
      </c>
      <c r="C67">
        <f t="shared" si="63"/>
        <v>438</v>
      </c>
      <c r="D67">
        <f t="shared" si="63"/>
        <v>456</v>
      </c>
      <c r="E67" s="9">
        <f t="shared" ref="E67:G67" si="64">E74</f>
        <v>112</v>
      </c>
      <c r="F67">
        <f t="shared" si="64"/>
        <v>161</v>
      </c>
      <c r="G67">
        <f t="shared" si="64"/>
        <v>176</v>
      </c>
      <c r="H67" s="8"/>
      <c r="I67" s="84">
        <f t="shared" ref="I67:R67" si="65">I34-I41-I54</f>
        <v>626.15411376635166</v>
      </c>
      <c r="J67" s="84">
        <f t="shared" si="65"/>
        <v>940.62172155174278</v>
      </c>
      <c r="K67" s="84">
        <f t="shared" si="65"/>
        <v>1265.8094595176544</v>
      </c>
      <c r="L67" s="84">
        <f t="shared" si="65"/>
        <v>1645.7139983629913</v>
      </c>
      <c r="M67" s="84">
        <f t="shared" si="65"/>
        <v>1945.4186016254266</v>
      </c>
      <c r="N67" s="84">
        <f t="shared" si="65"/>
        <v>2311.4910318747893</v>
      </c>
      <c r="O67" s="84">
        <f t="shared" si="65"/>
        <v>2672.4513351746573</v>
      </c>
      <c r="P67" s="84">
        <f t="shared" si="65"/>
        <v>3004.8807667062943</v>
      </c>
      <c r="Q67" s="84">
        <f t="shared" si="65"/>
        <v>3308.4830011168597</v>
      </c>
      <c r="R67" s="84">
        <f t="shared" si="65"/>
        <v>3607.9781318464638</v>
      </c>
      <c r="S67" s="86"/>
    </row>
    <row r="68" spans="1:19">
      <c r="A68" s="77" t="s">
        <v>141</v>
      </c>
      <c r="B68">
        <f t="shared" ref="B68:C68" si="66">B35-B42-B55</f>
        <v>-229</v>
      </c>
      <c r="C68">
        <f t="shared" si="66"/>
        <v>-10</v>
      </c>
      <c r="D68" s="88">
        <f>D35-D42-D55</f>
        <v>27</v>
      </c>
      <c r="E68" s="9">
        <f t="shared" ref="E68:G68" si="67">E75</f>
        <v>11</v>
      </c>
      <c r="F68">
        <f t="shared" si="67"/>
        <v>13</v>
      </c>
      <c r="G68">
        <f t="shared" si="67"/>
        <v>20</v>
      </c>
      <c r="H68" s="8"/>
      <c r="I68" s="84">
        <f t="shared" ref="I68:R68" ca="1" si="68">I35-I42-I55</f>
        <v>102.69811159318326</v>
      </c>
      <c r="J68" s="84">
        <f t="shared" ca="1" si="68"/>
        <v>136.36417750000004</v>
      </c>
      <c r="K68" s="84">
        <f t="shared" ca="1" si="68"/>
        <v>166.47338789200006</v>
      </c>
      <c r="L68" s="84">
        <f t="shared" ca="1" si="68"/>
        <v>200.89770631681012</v>
      </c>
      <c r="M68" s="84">
        <f t="shared" ca="1" si="68"/>
        <v>240.16996761616076</v>
      </c>
      <c r="N68" s="84">
        <f t="shared" ca="1" si="68"/>
        <v>284.88396452822838</v>
      </c>
      <c r="O68" s="84">
        <f t="shared" ca="1" si="68"/>
        <v>335.70110414677731</v>
      </c>
      <c r="P68" s="84">
        <f t="shared" ca="1" si="68"/>
        <v>389.74898191440843</v>
      </c>
      <c r="Q68" s="84">
        <f t="shared" ca="1" si="68"/>
        <v>450.29603305832126</v>
      </c>
      <c r="R68" s="84">
        <f t="shared" ca="1" si="68"/>
        <v>518.03621890100794</v>
      </c>
      <c r="S68" s="86"/>
    </row>
    <row r="69" spans="1:19">
      <c r="A69" s="81" t="s">
        <v>142</v>
      </c>
      <c r="B69" s="26">
        <f t="shared" ref="B69:D69" si="69">B36-B43-B56</f>
        <v>13</v>
      </c>
      <c r="C69" s="26">
        <f t="shared" si="69"/>
        <v>36</v>
      </c>
      <c r="D69" s="26">
        <f t="shared" si="69"/>
        <v>44</v>
      </c>
      <c r="E69" s="82">
        <f t="shared" ref="E69:G69" si="70">E76</f>
        <v>14</v>
      </c>
      <c r="F69" s="26">
        <f t="shared" si="70"/>
        <v>14</v>
      </c>
      <c r="G69" s="26">
        <f t="shared" si="70"/>
        <v>15</v>
      </c>
      <c r="H69" s="83"/>
      <c r="I69" s="85">
        <f t="shared" ref="I69:R69" ca="1" si="71">I36-I43-I56</f>
        <v>64.260000000000034</v>
      </c>
      <c r="J69" s="85">
        <f t="shared" ca="1" si="71"/>
        <v>98.879999999999981</v>
      </c>
      <c r="K69" s="85">
        <f t="shared" ca="1" si="71"/>
        <v>119.08499999999999</v>
      </c>
      <c r="L69" s="85">
        <f t="shared" ca="1" si="71"/>
        <v>140.94</v>
      </c>
      <c r="M69" s="85">
        <f t="shared" ca="1" si="71"/>
        <v>166.2910920770878</v>
      </c>
      <c r="N69" s="85">
        <f t="shared" ca="1" si="71"/>
        <v>195.65862744109054</v>
      </c>
      <c r="O69" s="85">
        <f t="shared" ca="1" si="71"/>
        <v>229.63703147850475</v>
      </c>
      <c r="P69" s="85">
        <f t="shared" ca="1" si="71"/>
        <v>268.90503410820321</v>
      </c>
      <c r="Q69" s="85">
        <f t="shared" ca="1" si="71"/>
        <v>314.2372824122142</v>
      </c>
      <c r="R69" s="85">
        <f t="shared" ca="1" si="71"/>
        <v>366.51751923100448</v>
      </c>
      <c r="S69" s="86"/>
    </row>
    <row r="70" spans="1:19">
      <c r="A70" s="151" t="s">
        <v>114</v>
      </c>
      <c r="B70" s="150">
        <f>SUM(B66:B69)</f>
        <v>-845</v>
      </c>
      <c r="C70" s="153">
        <f t="shared" ref="C70:D70" si="72">SUM(C66:C69)</f>
        <v>469.00000000000011</v>
      </c>
      <c r="D70" s="153">
        <f t="shared" si="72"/>
        <v>675</v>
      </c>
      <c r="E70" s="152">
        <f>SUM(E66:E69)</f>
        <v>228</v>
      </c>
      <c r="F70" s="153">
        <f t="shared" ref="F70:H70" si="73">SUM(F66:F69)</f>
        <v>322</v>
      </c>
      <c r="G70" s="153">
        <f t="shared" si="73"/>
        <v>382</v>
      </c>
      <c r="H70" s="154">
        <f t="shared" si="73"/>
        <v>0</v>
      </c>
      <c r="I70" s="150">
        <f ca="1">SUM(I66:I69)</f>
        <v>1355.4546967833262</v>
      </c>
      <c r="J70" s="150">
        <f t="shared" ref="J70" ca="1" si="74">SUM(J66:J69)</f>
        <v>2037.8143764956922</v>
      </c>
      <c r="K70" s="150">
        <f t="shared" ref="K70" ca="1" si="75">SUM(K66:K69)</f>
        <v>2792.0736883025825</v>
      </c>
      <c r="L70" s="150">
        <f t="shared" ref="L70" ca="1" si="76">SUM(L66:L69)</f>
        <v>3689.6745970427919</v>
      </c>
      <c r="M70" s="150">
        <f t="shared" ref="M70" ca="1" si="77">SUM(M66:M69)</f>
        <v>4401.1135941032026</v>
      </c>
      <c r="N70" s="150">
        <f t="shared" ref="N70" ca="1" si="78">SUM(N66:N69)</f>
        <v>5184.1077547570112</v>
      </c>
      <c r="O70" s="150">
        <f t="shared" ref="O70" ca="1" si="79">SUM(O66:O69)</f>
        <v>5976.3811923875064</v>
      </c>
      <c r="P70" s="150">
        <f t="shared" ref="P70" ca="1" si="80">SUM(P66:P69)</f>
        <v>6748.6268595394658</v>
      </c>
      <c r="Q70" s="150">
        <f t="shared" ref="Q70" ca="1" si="81">SUM(Q66:Q69)</f>
        <v>7528.5204092549993</v>
      </c>
      <c r="R70" s="150">
        <f t="shared" ref="R70" ca="1" si="82">SUM(R66:R69)</f>
        <v>8333.9978824817517</v>
      </c>
    </row>
    <row r="71" spans="1:19" hidden="1" outlineLevel="1">
      <c r="E71" s="9"/>
      <c r="H71" s="8"/>
    </row>
    <row r="72" spans="1:19" hidden="1" outlineLevel="1">
      <c r="A72" s="20" t="s">
        <v>156</v>
      </c>
      <c r="B72" s="2"/>
      <c r="C72" s="2"/>
      <c r="D72" s="2"/>
      <c r="E72" s="7"/>
      <c r="F72" s="2"/>
      <c r="G72" s="2"/>
      <c r="H72" s="8"/>
      <c r="J72" s="5"/>
    </row>
    <row r="73" spans="1:19" hidden="1" outlineLevel="1">
      <c r="A73" s="77" t="s">
        <v>139</v>
      </c>
      <c r="B73" s="84">
        <v>-638</v>
      </c>
      <c r="C73" s="84">
        <v>5</v>
      </c>
      <c r="D73" s="84">
        <v>148</v>
      </c>
      <c r="E73" s="9">
        <v>91</v>
      </c>
      <c r="F73" s="162">
        <v>134</v>
      </c>
      <c r="G73" s="162">
        <v>171</v>
      </c>
      <c r="H73" s="8"/>
    </row>
    <row r="74" spans="1:19" hidden="1" outlineLevel="1">
      <c r="A74" s="77" t="s">
        <v>140</v>
      </c>
      <c r="B74" s="84">
        <v>9</v>
      </c>
      <c r="C74" s="84">
        <v>438</v>
      </c>
      <c r="D74" s="84">
        <v>456</v>
      </c>
      <c r="E74" s="9">
        <v>112</v>
      </c>
      <c r="F74" s="162">
        <v>161</v>
      </c>
      <c r="G74" s="162">
        <v>176</v>
      </c>
      <c r="H74" s="8"/>
    </row>
    <row r="75" spans="1:19" hidden="1" outlineLevel="1">
      <c r="A75" s="77" t="s">
        <v>141</v>
      </c>
      <c r="B75" s="84">
        <v>-229</v>
      </c>
      <c r="C75" s="84">
        <v>-10</v>
      </c>
      <c r="D75" s="84">
        <v>27</v>
      </c>
      <c r="E75" s="9">
        <v>11</v>
      </c>
      <c r="F75" s="162">
        <v>13</v>
      </c>
      <c r="G75" s="162">
        <v>20</v>
      </c>
      <c r="H75" s="8"/>
    </row>
    <row r="76" spans="1:19" hidden="1" outlineLevel="1">
      <c r="A76" s="81" t="s">
        <v>142</v>
      </c>
      <c r="B76" s="85">
        <v>13</v>
      </c>
      <c r="C76" s="85">
        <v>36</v>
      </c>
      <c r="D76" s="85">
        <v>44</v>
      </c>
      <c r="E76" s="82">
        <v>14</v>
      </c>
      <c r="F76" s="26">
        <v>14</v>
      </c>
      <c r="G76" s="98">
        <v>15</v>
      </c>
      <c r="H76" s="83"/>
      <c r="I76" s="26"/>
      <c r="J76" s="26"/>
      <c r="K76" s="26"/>
      <c r="L76" s="26"/>
      <c r="M76" s="26"/>
      <c r="N76" s="26"/>
      <c r="O76" s="26"/>
      <c r="P76" s="26"/>
      <c r="Q76" s="26"/>
      <c r="R76" s="26"/>
    </row>
    <row r="77" spans="1:19" hidden="1" outlineLevel="1">
      <c r="A77" s="80" t="s">
        <v>114</v>
      </c>
      <c r="B77" s="109">
        <f>SUM(B73:B76)</f>
        <v>-845</v>
      </c>
      <c r="C77" s="20">
        <f t="shared" ref="C77:D77" si="83">SUM(C73:C76)</f>
        <v>469</v>
      </c>
      <c r="D77" s="20">
        <f t="shared" si="83"/>
        <v>675</v>
      </c>
      <c r="E77" s="121">
        <f>SUM(E73:E76)</f>
        <v>228</v>
      </c>
      <c r="F77" s="109">
        <v>321</v>
      </c>
      <c r="G77" s="109">
        <f>SUM(G73:G76)</f>
        <v>382</v>
      </c>
      <c r="H77" s="8"/>
    </row>
    <row r="78" spans="1:19" collapsed="1">
      <c r="A78" s="77"/>
      <c r="B78" s="2"/>
      <c r="C78" s="2"/>
      <c r="D78" s="2"/>
      <c r="E78" s="7"/>
      <c r="F78" s="2"/>
      <c r="G78" s="2"/>
      <c r="H78" s="8"/>
    </row>
    <row r="79" spans="1:19">
      <c r="A79" s="20" t="s">
        <v>157</v>
      </c>
      <c r="E79" s="9"/>
      <c r="H79" s="8"/>
    </row>
    <row r="80" spans="1:19">
      <c r="A80" s="77" t="s">
        <v>139</v>
      </c>
      <c r="C80" s="86">
        <f>(C66-B66)/B66</f>
        <v>-1.0078369905956115</v>
      </c>
      <c r="D80" s="86">
        <f>(D66-C66)/C66</f>
        <v>28.599999999999326</v>
      </c>
      <c r="E80" s="9"/>
      <c r="H80" s="8"/>
      <c r="I80" s="86">
        <f>(I66-D66)/D66</f>
        <v>2.7996112934039949</v>
      </c>
      <c r="J80" s="86">
        <f>(J66-I66)/I66</f>
        <v>0.53278210564744932</v>
      </c>
      <c r="K80" s="86">
        <f t="shared" ref="K80:R80" si="84">(K66-J66)/J66</f>
        <v>0.43941995764312747</v>
      </c>
      <c r="L80" s="86">
        <f t="shared" si="84"/>
        <v>0.37189883069945379</v>
      </c>
      <c r="M80" s="86">
        <f t="shared" si="84"/>
        <v>0.20392830739715631</v>
      </c>
      <c r="N80" s="86">
        <f t="shared" si="84"/>
        <v>0.16730164020977364</v>
      </c>
      <c r="O80" s="86">
        <f t="shared" si="84"/>
        <v>0.14486072408735079</v>
      </c>
      <c r="P80" s="86">
        <f t="shared" si="84"/>
        <v>0.12652501374762309</v>
      </c>
      <c r="Q80" s="86">
        <f t="shared" si="84"/>
        <v>0.12006514121289533</v>
      </c>
      <c r="R80" s="86">
        <f t="shared" si="84"/>
        <v>0.11169482352941199</v>
      </c>
    </row>
    <row r="81" spans="1:19">
      <c r="A81" s="77" t="s">
        <v>140</v>
      </c>
      <c r="C81" s="86">
        <f t="shared" ref="C81:D81" si="85">(C67-B67)/B67</f>
        <v>47.666666666666664</v>
      </c>
      <c r="D81" s="86">
        <f t="shared" si="85"/>
        <v>4.1095890410958902E-2</v>
      </c>
      <c r="E81" s="9"/>
      <c r="H81" s="8"/>
      <c r="I81" s="86">
        <f t="shared" ref="I81:I83" si="86">(I67-D67)/D67</f>
        <v>0.37314498632971854</v>
      </c>
      <c r="J81" s="86">
        <f t="shared" ref="J81:R81" si="87">(J67-I67)/I67</f>
        <v>0.50222078059002284</v>
      </c>
      <c r="K81" s="86">
        <f t="shared" si="87"/>
        <v>0.34571574365670582</v>
      </c>
      <c r="L81" s="86">
        <f t="shared" si="87"/>
        <v>0.3001277451269026</v>
      </c>
      <c r="M81" s="86">
        <f t="shared" si="87"/>
        <v>0.18211220391912236</v>
      </c>
      <c r="N81" s="86">
        <f t="shared" si="87"/>
        <v>0.18817154824339793</v>
      </c>
      <c r="O81" s="86">
        <f t="shared" si="87"/>
        <v>0.15615907581830529</v>
      </c>
      <c r="P81" s="86">
        <f t="shared" si="87"/>
        <v>0.12439120112543084</v>
      </c>
      <c r="Q81" s="86">
        <f t="shared" si="87"/>
        <v>0.10103636649228831</v>
      </c>
      <c r="R81" s="86">
        <f t="shared" si="87"/>
        <v>9.0523400189301939E-2</v>
      </c>
    </row>
    <row r="82" spans="1:19">
      <c r="A82" s="77" t="s">
        <v>141</v>
      </c>
      <c r="C82" s="86">
        <f t="shared" ref="C82:D82" si="88">(C68-B68)/B68</f>
        <v>-0.95633187772925765</v>
      </c>
      <c r="D82" s="86">
        <f t="shared" si="88"/>
        <v>-3.7</v>
      </c>
      <c r="E82" s="9"/>
      <c r="H82" s="8"/>
      <c r="I82" s="86">
        <f t="shared" ca="1" si="86"/>
        <v>2.8036337627104908</v>
      </c>
      <c r="J82" s="86">
        <f t="shared" ref="J82:R82" ca="1" si="89">(J68-I68)/I68</f>
        <v>0.32781582236076307</v>
      </c>
      <c r="K82" s="86">
        <f t="shared" ca="1" si="89"/>
        <v>0.22080000000000011</v>
      </c>
      <c r="L82" s="86">
        <f t="shared" ca="1" si="89"/>
        <v>0.20678571428571452</v>
      </c>
      <c r="M82" s="86">
        <f t="shared" ca="1" si="89"/>
        <v>0.19548387096774206</v>
      </c>
      <c r="N82" s="86">
        <f t="shared" ca="1" si="89"/>
        <v>0.18617647058823544</v>
      </c>
      <c r="O82" s="86">
        <f t="shared" ca="1" si="89"/>
        <v>0.17837837837837869</v>
      </c>
      <c r="P82" s="86">
        <f t="shared" ca="1" si="89"/>
        <v>0.16099999999999992</v>
      </c>
      <c r="Q82" s="86">
        <f t="shared" ca="1" si="89"/>
        <v>0.15534883720930251</v>
      </c>
      <c r="R82" s="86">
        <f t="shared" ca="1" si="89"/>
        <v>0.15043478260869586</v>
      </c>
    </row>
    <row r="83" spans="1:19" ht="15.75" thickBot="1">
      <c r="A83" s="81" t="s">
        <v>142</v>
      </c>
      <c r="B83" s="148"/>
      <c r="C83" s="87">
        <f t="shared" ref="C83:D83" si="90">(C69-B69)/B69</f>
        <v>1.7692307692307692</v>
      </c>
      <c r="D83" s="87">
        <f t="shared" si="90"/>
        <v>0.22222222222222221</v>
      </c>
      <c r="E83" s="196"/>
      <c r="F83" s="197"/>
      <c r="G83" s="197"/>
      <c r="H83" s="13"/>
      <c r="I83" s="87">
        <f t="shared" ca="1" si="86"/>
        <v>0.46045454545454623</v>
      </c>
      <c r="J83" s="87">
        <f t="shared" ref="J83:R83" ca="1" si="91">(J69-I69)/I69</f>
        <v>0.53874883286647879</v>
      </c>
      <c r="K83" s="87">
        <f t="shared" ca="1" si="91"/>
        <v>0.20433859223300987</v>
      </c>
      <c r="L83" s="87">
        <f t="shared" ca="1" si="91"/>
        <v>0.18352437334676916</v>
      </c>
      <c r="M83" s="87">
        <f t="shared" ca="1" si="91"/>
        <v>0.17987152034261245</v>
      </c>
      <c r="N83" s="87">
        <f t="shared" ca="1" si="91"/>
        <v>0.17660317818099841</v>
      </c>
      <c r="O83" s="87">
        <f t="shared" ca="1" si="91"/>
        <v>0.17366167023554596</v>
      </c>
      <c r="P83" s="87">
        <f t="shared" ca="1" si="91"/>
        <v>0.1710003059039463</v>
      </c>
      <c r="Q83" s="87">
        <f t="shared" ca="1" si="91"/>
        <v>0.16858088378431024</v>
      </c>
      <c r="R83" s="87">
        <f t="shared" ca="1" si="91"/>
        <v>0.16637184619681586</v>
      </c>
    </row>
    <row r="85" spans="1:19">
      <c r="A85" s="160" t="s">
        <v>158</v>
      </c>
      <c r="B85" s="2"/>
      <c r="C85" s="2"/>
      <c r="D85" s="2"/>
      <c r="E85" s="7"/>
      <c r="F85" s="2"/>
      <c r="G85" s="2"/>
      <c r="H85" s="8"/>
    </row>
    <row r="86" spans="1:19" hidden="1" outlineLevel="1">
      <c r="A86" t="s">
        <v>48</v>
      </c>
      <c r="B86" s="2"/>
      <c r="C86" s="2"/>
      <c r="D86" s="2"/>
      <c r="E86" s="7"/>
      <c r="F86" s="2"/>
      <c r="G86" s="2"/>
      <c r="H86" s="8"/>
    </row>
    <row r="87" spans="1:19" hidden="1" outlineLevel="1">
      <c r="A87" t="s">
        <v>49</v>
      </c>
      <c r="B87" s="4">
        <f>Values!B14/Values!B$3</f>
        <v>0.28165680473372778</v>
      </c>
      <c r="C87" s="4">
        <f>Values!C14/Values!C$3</f>
        <v>-0.32196162046908317</v>
      </c>
      <c r="D87" s="4">
        <f>Values!D14/Values!D$3</f>
        <v>-0.35703703703703704</v>
      </c>
      <c r="E87" s="10">
        <f>Values!E14/Values!E$3</f>
        <v>-0.30701754385964913</v>
      </c>
      <c r="F87" s="11">
        <f>Values!F14/Values!F$3</f>
        <v>-0.22429906542056074</v>
      </c>
      <c r="G87" s="11">
        <f>Values!G14/Values!G$3</f>
        <v>-0.17277486910994763</v>
      </c>
      <c r="H87" s="12">
        <f ca="1">Values!H14/Values!H$3</f>
        <v>-0.17663229139321632</v>
      </c>
      <c r="I87" s="587">
        <f>'Forecast for Expenses'!I26</f>
        <v>8.3687873701586521E-2</v>
      </c>
      <c r="J87" s="587">
        <f>'Forecast for Expenses'!J26</f>
        <v>7.96099558545207E-2</v>
      </c>
      <c r="K87" s="587">
        <f>'Forecast for Expenses'!K26</f>
        <v>7.5730745576806147E-2</v>
      </c>
      <c r="L87" s="587">
        <f>'Forecast for Expenses'!L26</f>
        <v>7.2040560305037138E-2</v>
      </c>
      <c r="M87" s="587">
        <f>'Forecast for Expenses'!M26</f>
        <v>6.8530189284881041E-2</v>
      </c>
      <c r="N87" s="587">
        <f>'Forecast for Expenses'!N26</f>
        <v>6.5190870580905919E-2</v>
      </c>
      <c r="O87" s="587">
        <f>'Forecast for Expenses'!O26</f>
        <v>6.20142692066665E-2</v>
      </c>
      <c r="P87" s="587">
        <f>'Forecast for Expenses'!P26</f>
        <v>5.8992456320460795E-2</v>
      </c>
      <c r="Q87" s="587">
        <f>'Forecast for Expenses'!Q26</f>
        <v>5.6117889434829697E-2</v>
      </c>
      <c r="R87" s="587">
        <f>'Forecast for Expenses'!R26</f>
        <v>5.3383393590402235E-2</v>
      </c>
      <c r="S87" t="s">
        <v>159</v>
      </c>
    </row>
    <row r="88" spans="1:19" hidden="1" outlineLevel="1">
      <c r="A88" t="s">
        <v>50</v>
      </c>
      <c r="B88" s="4">
        <f>Values!B15/Values!B$3</f>
        <v>0.35976331360946745</v>
      </c>
      <c r="C88" s="4">
        <f>Values!C15/Values!C$3</f>
        <v>-0.69509594882729209</v>
      </c>
      <c r="D88" s="4">
        <f>Values!D15/Values!D$3</f>
        <v>-0.80740740740740746</v>
      </c>
      <c r="E88" s="10">
        <f>Values!E15/Values!E$3</f>
        <v>-0.74122807017543857</v>
      </c>
      <c r="F88" s="11">
        <f>Values!F15/Values!F$3</f>
        <v>-0.50467289719626163</v>
      </c>
      <c r="G88" s="11">
        <f>Values!G15/Values!G$3</f>
        <v>-0.39267015706806285</v>
      </c>
      <c r="H88" s="12">
        <f ca="1">Values!H15/Values!H$3</f>
        <v>-0.4101899963337754</v>
      </c>
      <c r="I88" s="587">
        <f>'Forecast for Expenses'!I44</f>
        <v>0.19374510262113409</v>
      </c>
      <c r="J88" s="587">
        <f>'Forecast for Expenses'!J44</f>
        <v>0.18713620513054921</v>
      </c>
      <c r="K88" s="587">
        <f>'Forecast for Expenses'!K44</f>
        <v>0.18075274573078653</v>
      </c>
      <c r="L88" s="587">
        <f>'Forecast for Expenses'!L44</f>
        <v>0.17458703443529897</v>
      </c>
      <c r="M88" s="587">
        <f>'Forecast for Expenses'!M44</f>
        <v>0.16863164357298438</v>
      </c>
      <c r="N88" s="587">
        <f>'Forecast for Expenses'!N44</f>
        <v>0.16287939884026445</v>
      </c>
      <c r="O88" s="587">
        <f>'Forecast for Expenses'!O44</f>
        <v>0.15732337065838886</v>
      </c>
      <c r="P88" s="587">
        <f>'Forecast for Expenses'!P44</f>
        <v>0.15195686582555307</v>
      </c>
      <c r="Q88" s="587">
        <f>'Forecast for Expenses'!Q44</f>
        <v>0.14677341945377317</v>
      </c>
      <c r="R88" s="587">
        <f>'Forecast for Expenses'!R44</f>
        <v>0.14176678718080446</v>
      </c>
      <c r="S88" t="s">
        <v>160</v>
      </c>
    </row>
    <row r="89" spans="1:19" hidden="1" outlineLevel="1">
      <c r="A89" t="s">
        <v>51</v>
      </c>
      <c r="B89" s="4">
        <f>Values!B16/Values!B$3</f>
        <v>0.27337278106508878</v>
      </c>
      <c r="C89" s="4">
        <f>Values!C16/Values!C$3</f>
        <v>-0.54797441364605548</v>
      </c>
      <c r="D89" s="4">
        <f>Values!D16/Values!D$3</f>
        <v>-0.52740740740740744</v>
      </c>
      <c r="E89" s="10">
        <f>Values!E16/Values!E$3</f>
        <v>-0.52192982456140347</v>
      </c>
      <c r="F89" s="11">
        <f>Values!F16/Values!F$3</f>
        <v>-0.37694704049844235</v>
      </c>
      <c r="G89" s="11">
        <f>Values!G16/Values!G$3</f>
        <v>-0.30366492146596857</v>
      </c>
      <c r="H89" s="12">
        <f ca="1">Values!H16/Values!H$3</f>
        <v>-0.30197638569361268</v>
      </c>
      <c r="I89" s="331">
        <f>'Forecast for Expenses'!I62</f>
        <v>0.14319276417816126</v>
      </c>
      <c r="J89" s="172">
        <f>'Forecast for Expenses'!J62</f>
        <v>0.13734140349864127</v>
      </c>
      <c r="K89" s="172">
        <f>'Forecast for Expenses'!K62</f>
        <v>0.13172915002539903</v>
      </c>
      <c r="L89" s="172">
        <f>'Forecast for Expenses'!L62</f>
        <v>0.12634623299583334</v>
      </c>
      <c r="M89" s="172">
        <f>'Forecast for Expenses'!M62</f>
        <v>0.12118328091511608</v>
      </c>
      <c r="N89" s="172">
        <f>'Forecast for Expenses'!N62</f>
        <v>0.116231305240705</v>
      </c>
      <c r="O89" s="172">
        <f>'Forecast for Expenses'!O62</f>
        <v>0.11148168473356436</v>
      </c>
      <c r="P89" s="172">
        <f>'Forecast for Expenses'!P62</f>
        <v>0.10692615044885005</v>
      </c>
      <c r="Q89" s="172">
        <f>'Forecast for Expenses'!Q62</f>
        <v>0.10255677133992813</v>
      </c>
      <c r="R89" s="172">
        <f>'Forecast for Expenses'!R62</f>
        <v>9.8365940450663811E-2</v>
      </c>
      <c r="S89" t="s">
        <v>161</v>
      </c>
    </row>
    <row r="90" spans="1:19" hidden="1" outlineLevel="1">
      <c r="A90" t="s">
        <v>52</v>
      </c>
      <c r="B90" s="4">
        <f>Values!B17/Values!B$3</f>
        <v>6.6272189349112429E-2</v>
      </c>
      <c r="C90" s="4">
        <f>Values!C17/Values!C$3</f>
        <v>-0.13432835820895522</v>
      </c>
      <c r="D90" s="4">
        <f>Values!D17/Values!D$3</f>
        <v>-2.8148148148148148E-2</v>
      </c>
      <c r="E90" s="10">
        <f>Values!E17/Values!E$3</f>
        <v>-3.5087719298245612E-2</v>
      </c>
      <c r="F90" s="11">
        <f>Values!F17/Values!F$3</f>
        <v>-4.6728971962616821E-2</v>
      </c>
      <c r="G90" s="11">
        <f>Values!G17/Values!G$3</f>
        <v>-4.4502617801047119E-2</v>
      </c>
      <c r="H90" s="12">
        <f ca="1">Values!H17/Values!H$3</f>
        <v>-4.711928069489478E-2</v>
      </c>
      <c r="I90" s="159">
        <v>0.03</v>
      </c>
      <c r="J90" s="159">
        <v>0.03</v>
      </c>
      <c r="K90" s="159">
        <v>0.03</v>
      </c>
      <c r="L90" s="159">
        <v>0.03</v>
      </c>
      <c r="M90" s="159">
        <v>0.03</v>
      </c>
      <c r="N90" s="159">
        <v>0.03</v>
      </c>
      <c r="O90" s="159">
        <v>0.03</v>
      </c>
      <c r="P90" s="159">
        <v>0.03</v>
      </c>
      <c r="Q90" s="159">
        <v>0.03</v>
      </c>
      <c r="R90" s="159">
        <v>0.03</v>
      </c>
    </row>
    <row r="91" spans="1:19" hidden="1" outlineLevel="1">
      <c r="A91" t="s">
        <v>53</v>
      </c>
      <c r="B91" s="2"/>
      <c r="C91" s="2"/>
      <c r="D91" s="2"/>
      <c r="E91" s="7"/>
      <c r="F91" s="2"/>
      <c r="G91" s="2"/>
      <c r="H91" s="8"/>
    </row>
    <row r="92" spans="1:19" hidden="1" outlineLevel="1">
      <c r="A92" t="s">
        <v>54</v>
      </c>
      <c r="B92" s="2"/>
      <c r="C92" s="2"/>
      <c r="D92" s="2"/>
      <c r="E92" s="7"/>
      <c r="F92" s="2"/>
      <c r="G92" s="2"/>
      <c r="H92" s="8"/>
    </row>
    <row r="93" spans="1:19" hidden="1" outlineLevel="1">
      <c r="A93" t="s">
        <v>55</v>
      </c>
      <c r="B93" s="4">
        <f>Values!B20/Values!B$3</f>
        <v>2.7609467455621304</v>
      </c>
      <c r="C93" s="4">
        <f>Values!C20/Values!C$3</f>
        <v>-1.8742004264392325</v>
      </c>
      <c r="D93" s="4">
        <f>Values!D20/Values!D$3</f>
        <v>-2.3111111111111109</v>
      </c>
      <c r="E93" s="10">
        <f>Values!E20/Values!E$3</f>
        <v>-1.8070175438596492</v>
      </c>
      <c r="F93" s="11">
        <f>Values!F20/Values!F$3</f>
        <v>-1.0809968847352025</v>
      </c>
      <c r="G93" s="11">
        <f>Values!G20/Values!G$3</f>
        <v>-0.65706806282722519</v>
      </c>
      <c r="H93" s="12">
        <f ca="1">Values!H20/Values!H$3</f>
        <v>-0.28456703248625564</v>
      </c>
      <c r="I93" s="4">
        <f ca="1">Values!I20/Values!I$3</f>
        <v>-0.8342483272749649</v>
      </c>
      <c r="J93" s="4">
        <f ca="1">Values!J20/Values!J$3</f>
        <v>-0.5213790269968519</v>
      </c>
      <c r="K93" s="4">
        <f ca="1">Values!K20/Values!K$3</f>
        <v>-0.32131139773219397</v>
      </c>
      <c r="L93" s="4">
        <f ca="1">Values!L20/Values!L$3</f>
        <v>-0.17078469136532826</v>
      </c>
      <c r="M93" s="4">
        <f ca="1">Values!M20/Values!M$3</f>
        <v>-7.125766033749921E-2</v>
      </c>
      <c r="N93" s="4">
        <f ca="1">Values!N20/Values!N$3</f>
        <v>2.104734273615912E-2</v>
      </c>
      <c r="O93" s="4">
        <f ca="1">Values!O20/Values!O$3</f>
        <v>0.10414641327925096</v>
      </c>
      <c r="P93" s="4">
        <f ca="1">Values!P20/Values!P$3</f>
        <v>0.17941296055875072</v>
      </c>
      <c r="Q93" s="4">
        <f ca="1">Values!Q20/Values!Q$3</f>
        <v>0.24813567033599387</v>
      </c>
      <c r="R93" s="4">
        <f ca="1">Values!R20/Values!R$3</f>
        <v>0.31189362541764543</v>
      </c>
    </row>
    <row r="94" spans="1:19" collapsed="1">
      <c r="B94" s="2"/>
      <c r="C94" s="2"/>
      <c r="D94" s="2"/>
      <c r="E94" s="7"/>
      <c r="F94" s="2"/>
      <c r="G94" s="2"/>
      <c r="H94" s="8"/>
    </row>
    <row r="95" spans="1:19">
      <c r="A95" s="161" t="s">
        <v>162</v>
      </c>
      <c r="B95" s="2"/>
      <c r="C95" s="2"/>
      <c r="D95" s="2"/>
      <c r="E95" s="7"/>
      <c r="F95" s="2"/>
      <c r="G95" s="2"/>
      <c r="H95" s="8"/>
    </row>
    <row r="96" spans="1:19" hidden="1" outlineLevel="1">
      <c r="A96" t="s">
        <v>56</v>
      </c>
      <c r="B96" s="4">
        <f>-Values!B22/Values!B79</f>
        <v>0.17552334943639292</v>
      </c>
      <c r="C96" s="4">
        <f>-Values!C22/Values!C79</f>
        <v>0.20355411954765751</v>
      </c>
      <c r="D96" s="4">
        <f>-Values!D22/Values!D79</f>
        <v>0.13885350318471337</v>
      </c>
      <c r="E96" s="10">
        <f>-Values!E22/Values!E79</f>
        <v>3.4013605442176874E-2</v>
      </c>
      <c r="F96" s="11">
        <f>-Values!F22/Values!F79</f>
        <v>3.5555555555555556E-2</v>
      </c>
      <c r="G96" s="11">
        <f>-Values!G22/Values!G79</f>
        <v>3.7362637362637362E-2</v>
      </c>
      <c r="H96" s="12" t="e">
        <f ca="1">-Values!H22/Values!H79</f>
        <v>#DIV/0!</v>
      </c>
      <c r="I96" s="273">
        <v>0.15</v>
      </c>
      <c r="J96" s="273">
        <f t="shared" ref="J96:R96" ca="1" si="92">J179</f>
        <v>0.10722248268521765</v>
      </c>
      <c r="K96" s="273">
        <f t="shared" ca="1" si="92"/>
        <v>0.10688150191221983</v>
      </c>
      <c r="L96" s="273">
        <f t="shared" ca="1" si="92"/>
        <v>0.10664029808738383</v>
      </c>
      <c r="M96" s="273">
        <f t="shared" ca="1" si="92"/>
        <v>0.1064908101920951</v>
      </c>
      <c r="N96" s="273">
        <f t="shared" ca="1" si="92"/>
        <v>0.10627120905872689</v>
      </c>
      <c r="O96" s="273">
        <f t="shared" ca="1" si="92"/>
        <v>0.10611434871090748</v>
      </c>
      <c r="P96" s="273">
        <f t="shared" ca="1" si="92"/>
        <v>0.10601377170898896</v>
      </c>
      <c r="Q96" s="273">
        <f t="shared" ca="1" si="92"/>
        <v>0.10597437323027663</v>
      </c>
      <c r="R96" s="273">
        <f t="shared" ca="1" si="92"/>
        <v>0.10595550872731002</v>
      </c>
    </row>
    <row r="97" spans="1:18" hidden="1" outlineLevel="1">
      <c r="A97" t="s">
        <v>57</v>
      </c>
      <c r="B97" s="4">
        <f>-Values!B23/Values!B82</f>
        <v>0.30919540229885056</v>
      </c>
      <c r="C97" s="4">
        <f>-Values!C23/Values!C82</f>
        <v>0.15245327102803738</v>
      </c>
      <c r="D97" s="4">
        <f>-Values!D23/Values!D82</f>
        <v>0.13801169590643275</v>
      </c>
      <c r="E97" s="10">
        <f>-Values!E23/Values!E82</f>
        <v>2.05761316872428E-3</v>
      </c>
      <c r="F97" s="11">
        <f>-Values!F23/Values!F82</f>
        <v>2.5654181631605951E-3</v>
      </c>
      <c r="G97" s="11">
        <f>-Values!G23/Values!G82</f>
        <v>2.0491803278688526E-3</v>
      </c>
      <c r="H97" s="12" t="e">
        <f ca="1">-Values!H23/Values!H82</f>
        <v>#DIV/0!</v>
      </c>
      <c r="I97" s="273">
        <f ca="1">I180</f>
        <v>1.1036903158009629E-2</v>
      </c>
      <c r="J97" s="273">
        <f t="shared" ref="J97:R97" ca="1" si="93">J180</f>
        <v>1.291718505608524E-2</v>
      </c>
      <c r="K97" s="273">
        <f t="shared" ca="1" si="93"/>
        <v>1.481720739319684E-2</v>
      </c>
      <c r="L97" s="273">
        <f t="shared" ca="1" si="93"/>
        <v>1.6826456265485526E-2</v>
      </c>
      <c r="M97" s="273">
        <f t="shared" ca="1" si="93"/>
        <v>1.865194445446574E-2</v>
      </c>
      <c r="N97" s="273">
        <f t="shared" ca="1" si="93"/>
        <v>2.0472181108863306E-2</v>
      </c>
      <c r="O97" s="273">
        <f t="shared" ca="1" si="93"/>
        <v>2.2168302039077301E-2</v>
      </c>
      <c r="P97" s="273">
        <f t="shared" ca="1" si="93"/>
        <v>2.3660153567100262E-2</v>
      </c>
      <c r="Q97" s="273">
        <f t="shared" ca="1" si="93"/>
        <v>2.5081531475821314E-2</v>
      </c>
      <c r="R97" s="273">
        <f t="shared" ca="1" si="93"/>
        <v>2.6469940248860725E-2</v>
      </c>
    </row>
    <row r="98" spans="1:18" hidden="1" outlineLevel="1">
      <c r="A98" t="s">
        <v>58</v>
      </c>
      <c r="B98" s="2">
        <v>-30</v>
      </c>
      <c r="C98" s="2">
        <v>-40</v>
      </c>
      <c r="D98" s="2">
        <v>-11</v>
      </c>
      <c r="E98" s="7">
        <v>0</v>
      </c>
      <c r="F98" s="2">
        <v>-1</v>
      </c>
      <c r="G98" s="2">
        <v>-5</v>
      </c>
      <c r="H98" s="8"/>
    </row>
    <row r="99" spans="1:18" hidden="1" outlineLevel="1">
      <c r="A99" t="s">
        <v>59</v>
      </c>
      <c r="B99" s="4">
        <f>Values!B25/Values!B$3</f>
        <v>3.5621301775147929</v>
      </c>
      <c r="C99" s="4">
        <f>Values!C25/Values!C$3</f>
        <v>-2.7846481876332621</v>
      </c>
      <c r="D99" s="4">
        <f>Values!D25/Values!D$3</f>
        <v>-2.8385185185185184</v>
      </c>
      <c r="E99" s="10">
        <f>Values!E25/Values!E$3</f>
        <v>-1.9561403508771931</v>
      </c>
      <c r="F99" s="11">
        <f>Values!F25/Values!F$3</f>
        <v>-1.1993769470404985</v>
      </c>
      <c r="G99" s="11">
        <f>Values!G25/Values!G$3</f>
        <v>-0.76963350785340312</v>
      </c>
      <c r="H99" s="12">
        <f ca="1">Values!H25/Values!H$3</f>
        <v>-0.39617309137584161</v>
      </c>
      <c r="I99" s="4">
        <f ca="1">Values!I25/Values!I$3</f>
        <v>-0.9540396535881871</v>
      </c>
      <c r="J99" s="4">
        <f ca="1">Values!J25/Values!J$3</f>
        <v>-0.59706069576202192</v>
      </c>
      <c r="K99" s="4">
        <f ca="1">Values!K25/Values!K$3</f>
        <v>-0.38853633478894822</v>
      </c>
      <c r="L99" s="4">
        <f ca="1">Values!L25/Values!L$3</f>
        <v>-0.23165827997386979</v>
      </c>
      <c r="M99" s="4">
        <f ca="1">Values!M25/Values!M$3</f>
        <v>-0.13142176042018847</v>
      </c>
      <c r="N99" s="4">
        <f ca="1">Values!N25/Values!N$3</f>
        <v>-3.8633702125066442E-2</v>
      </c>
      <c r="O99" s="4">
        <f ca="1">Values!O25/Values!O$3</f>
        <v>4.4049911327951434E-2</v>
      </c>
      <c r="P99" s="4">
        <f ca="1">Values!P25/Values!P$3</f>
        <v>0.11832476387808977</v>
      </c>
      <c r="Q99" s="4">
        <f ca="1">Values!Q25/Values!Q$3</f>
        <v>0.18582427314891686</v>
      </c>
      <c r="R99" s="4">
        <f ca="1">Values!R25/Values!R$3</f>
        <v>0.24819192686847735</v>
      </c>
    </row>
    <row r="100" spans="1:18" collapsed="1">
      <c r="B100" s="2"/>
      <c r="C100" s="2"/>
      <c r="D100" s="2"/>
      <c r="E100" s="7"/>
      <c r="F100" s="2"/>
      <c r="G100" s="2"/>
      <c r="H100" s="8"/>
    </row>
    <row r="101" spans="1:18">
      <c r="A101" s="161" t="s">
        <v>163</v>
      </c>
      <c r="B101" s="2"/>
      <c r="C101" s="2"/>
      <c r="D101" s="2"/>
      <c r="E101" s="7"/>
      <c r="F101" s="2"/>
      <c r="G101" s="2"/>
      <c r="H101" s="8"/>
    </row>
    <row r="102" spans="1:18" outlineLevel="1">
      <c r="A102" t="s">
        <v>60</v>
      </c>
      <c r="B102" s="4">
        <f>Values!B27/Values!B38</f>
        <v>6.1953352769679303E-2</v>
      </c>
      <c r="C102" s="4">
        <f>Values!C27/Values!C38</f>
        <v>2.4390243902439025E-2</v>
      </c>
      <c r="D102" s="4">
        <f>Values!D27/Values!D38</f>
        <v>1.3023442195952716E-2</v>
      </c>
      <c r="E102" s="10">
        <f>Values!E27/Values!E38</f>
        <v>1.4467080011809861E-2</v>
      </c>
      <c r="F102" s="11">
        <f>Values!F27/Values!F38</f>
        <v>-5.7286072323666313E-3</v>
      </c>
      <c r="G102" s="11">
        <f>Values!G27/Values!G38</f>
        <v>1.5529219452390683E-2</v>
      </c>
      <c r="H102" s="12" t="e">
        <f ca="1">Values!H27/Values!H38</f>
        <v>#DIV/0!</v>
      </c>
      <c r="I102" s="4">
        <v>1.4999999999999999E-2</v>
      </c>
      <c r="J102" s="4">
        <v>1.4999999999999999E-2</v>
      </c>
      <c r="K102" s="4">
        <v>1.4999999999999999E-2</v>
      </c>
      <c r="L102" s="4">
        <v>1.4999999999999999E-2</v>
      </c>
      <c r="M102" s="4">
        <v>1.4999999999999999E-2</v>
      </c>
      <c r="N102" s="4">
        <v>1.4999999999999999E-2</v>
      </c>
      <c r="O102" s="4">
        <v>1.4999999999999999E-2</v>
      </c>
      <c r="P102" s="4">
        <v>1.4999999999999999E-2</v>
      </c>
      <c r="Q102" s="4">
        <v>1.4999999999999999E-2</v>
      </c>
      <c r="R102" s="4">
        <v>1.4999999999999999E-2</v>
      </c>
    </row>
    <row r="103" spans="1:18" outlineLevel="1">
      <c r="A103" t="s">
        <v>61</v>
      </c>
      <c r="B103" s="4">
        <f>-Values!B28/Values!B62</f>
        <v>0.12511848341232226</v>
      </c>
      <c r="C103" s="4">
        <f>-Values!C28/Values!C62</f>
        <v>0.13697370840227982</v>
      </c>
      <c r="D103" s="4">
        <f>-Values!D28/Values!D62</f>
        <v>0.83751846381093054</v>
      </c>
      <c r="E103" s="10">
        <f>-Values!E28/Values!E62</f>
        <v>1.777137367915466E-2</v>
      </c>
      <c r="F103" s="11">
        <f>-Values!F28/Values!F62</f>
        <v>8.387096774193549E-2</v>
      </c>
      <c r="G103" s="11">
        <f>-Values!G28/Values!G62</f>
        <v>4.0918163672654689E-2</v>
      </c>
      <c r="H103" s="12" t="e">
        <f>-Values!H28/Values!H62</f>
        <v>#DIV/0!</v>
      </c>
      <c r="I103" s="588">
        <f>'Alt WACC'!$C$9</f>
        <v>4.8275862068965517E-2</v>
      </c>
      <c r="J103" s="588">
        <f>'Alt WACC'!$C$9</f>
        <v>4.8275862068965517E-2</v>
      </c>
      <c r="K103" s="588">
        <f>'Alt WACC'!$C$9</f>
        <v>4.8275862068965517E-2</v>
      </c>
      <c r="L103" s="588">
        <f>'Alt WACC'!$C$9</f>
        <v>4.8275862068965517E-2</v>
      </c>
      <c r="M103" s="588">
        <f>'Alt WACC'!$C$9</f>
        <v>4.8275862068965517E-2</v>
      </c>
      <c r="N103" s="588">
        <f>'Alt WACC'!$C$9</f>
        <v>4.8275862068965517E-2</v>
      </c>
      <c r="O103" s="588">
        <f>'Alt WACC'!$C$9</f>
        <v>4.8275862068965517E-2</v>
      </c>
      <c r="P103" s="588">
        <f>'Alt WACC'!$C$9</f>
        <v>4.8275862068965517E-2</v>
      </c>
      <c r="Q103" s="588">
        <f>'Alt WACC'!$C$9</f>
        <v>4.8275862068965517E-2</v>
      </c>
      <c r="R103" s="588">
        <f>'Alt WACC'!$C$9</f>
        <v>4.8275862068965517E-2</v>
      </c>
    </row>
    <row r="104" spans="1:18" outlineLevel="1">
      <c r="A104" t="s">
        <v>62</v>
      </c>
      <c r="B104" s="4">
        <f>Values!B29/Values!B$3</f>
        <v>4.7112426035502954</v>
      </c>
      <c r="C104" s="4">
        <f>Values!C29/Values!C$3</f>
        <v>-5.8486140724946694</v>
      </c>
      <c r="D104" s="4">
        <f>Values!D29/Values!D$3</f>
        <v>-5.2622222222222224</v>
      </c>
      <c r="E104" s="10">
        <f>Values!E29/Values!E$3</f>
        <v>-1.9035087719298245</v>
      </c>
      <c r="F104" s="11">
        <f>Values!F29/Values!F$3</f>
        <v>-1.7757009345794392</v>
      </c>
      <c r="G104" s="11">
        <f>Values!G29/Values!G$3</f>
        <v>-0.88481675392670156</v>
      </c>
      <c r="H104" s="12">
        <f ca="1">Values!H29/Values!H$3</f>
        <v>6.3244621718029539E-2</v>
      </c>
      <c r="I104" s="4">
        <f ca="1">Values!I29/Values!I$3</f>
        <v>-0.97026888938932154</v>
      </c>
      <c r="J104" s="4">
        <f ca="1">Values!J29/Values!J$3</f>
        <v>-0.60892096017633235</v>
      </c>
      <c r="K104" s="4">
        <f ca="1">Values!K29/Values!K$3</f>
        <v>-0.39946175096001346</v>
      </c>
      <c r="L104" s="4">
        <f ca="1">Values!L29/Values!L$3</f>
        <v>-0.24095411176810119</v>
      </c>
      <c r="M104" s="4">
        <f ca="1">Values!M29/Values!M$3</f>
        <v>-0.13970911427716462</v>
      </c>
      <c r="N104" s="4">
        <f ca="1">Values!N29/Values!N$3</f>
        <v>-4.5777044003668735E-2</v>
      </c>
      <c r="O104" s="4">
        <f ca="1">Values!O29/Values!O$3</f>
        <v>3.8471204157526195E-2</v>
      </c>
      <c r="P104" s="4">
        <f ca="1">Values!P29/Values!P$3</f>
        <v>0.11451299475101055</v>
      </c>
      <c r="Q104" s="4">
        <f ca="1">Values!Q29/Values!Q$3</f>
        <v>0.18399835148054292</v>
      </c>
      <c r="R104" s="4">
        <f ca="1">Values!R29/Values!R$3</f>
        <v>0.24863782833964507</v>
      </c>
    </row>
    <row r="105" spans="1:18">
      <c r="B105" s="2"/>
      <c r="C105" s="2"/>
      <c r="D105" s="2"/>
      <c r="E105" s="7"/>
      <c r="F105" s="2"/>
      <c r="G105" s="2"/>
      <c r="H105" s="8"/>
    </row>
    <row r="106" spans="1:18">
      <c r="A106" s="161" t="s">
        <v>164</v>
      </c>
      <c r="B106" s="2"/>
      <c r="C106" s="2"/>
      <c r="D106" s="2"/>
      <c r="E106" s="7"/>
      <c r="F106" s="2"/>
      <c r="G106" s="2"/>
      <c r="H106" s="8"/>
    </row>
    <row r="107" spans="1:18" outlineLevel="1">
      <c r="A107" t="s">
        <v>63</v>
      </c>
      <c r="B107" s="2"/>
      <c r="C107" s="2"/>
      <c r="D107" s="4">
        <v>0.2</v>
      </c>
      <c r="E107" s="7"/>
      <c r="F107" s="2"/>
      <c r="G107" s="2"/>
      <c r="H107" s="8"/>
      <c r="I107" s="4">
        <f ca="1">IF(Values!I32&gt;0,Rates!$D$107,0)</f>
        <v>0</v>
      </c>
      <c r="J107" s="4">
        <f ca="1">IF(Values!J32&gt;0,Rates!$D$107,0)</f>
        <v>0</v>
      </c>
      <c r="K107" s="4">
        <f ca="1">IF(Values!K32&gt;0,Rates!$D$107,0)</f>
        <v>0</v>
      </c>
      <c r="L107" s="4">
        <f ca="1">IF(Values!L32&gt;0,Rates!$D$107,0)</f>
        <v>0</v>
      </c>
      <c r="M107" s="4">
        <f ca="1">IF(Values!M32&gt;0,Rates!$D$107,0)</f>
        <v>0</v>
      </c>
      <c r="N107" s="4">
        <f ca="1">IF(Values!N32&gt;0,Rates!$D$107,0)</f>
        <v>0</v>
      </c>
      <c r="O107" s="4">
        <f ca="1">IF(Values!O32&gt;0,Rates!$D$107,0)</f>
        <v>0.2</v>
      </c>
      <c r="P107" s="4">
        <f ca="1">IF(Values!P32&gt;0,Rates!$D$107,0)</f>
        <v>0.2</v>
      </c>
      <c r="Q107" s="4">
        <f ca="1">IF(Values!Q32&gt;0,Rates!$D$107,0)</f>
        <v>0.2</v>
      </c>
      <c r="R107" s="4">
        <f ca="1">IF(Values!R32&gt;0,Rates!$D$107,0)</f>
        <v>0.2</v>
      </c>
    </row>
    <row r="108" spans="1:18" outlineLevel="1">
      <c r="A108" t="s">
        <v>64</v>
      </c>
      <c r="B108" s="4">
        <f>Values!B32/Values!B$3</f>
        <v>4.7195266272189347</v>
      </c>
      <c r="C108" s="4">
        <f>Values!C32/Values!C$3</f>
        <v>-5.8528784648187635</v>
      </c>
      <c r="D108" s="4">
        <f>Values!D32/Values!D$3</f>
        <v>-5.2666666666666666</v>
      </c>
      <c r="E108" s="10">
        <f>Values!E32/Values!E$3</f>
        <v>-1.9078947368421053</v>
      </c>
      <c r="F108" s="11">
        <f>Values!F32/Values!F$3</f>
        <v>-1.7819314641744548</v>
      </c>
      <c r="G108" s="11">
        <f>Values!G32/Values!G$3</f>
        <v>-0.89528795811518325</v>
      </c>
      <c r="H108" s="12">
        <f ca="1">Values!H32/Values!H$3</f>
        <v>5.6176729613795322E-2</v>
      </c>
      <c r="I108" s="4">
        <f ca="1">Values!I32/Values!I$3</f>
        <v>-0.97764648749254945</v>
      </c>
      <c r="J108" s="4">
        <f ca="1">Values!J32/Values!J$3</f>
        <v>-0.61382817847616411</v>
      </c>
      <c r="K108" s="4">
        <f ca="1">Values!K32/Values!K$3</f>
        <v>-0.40304331832404655</v>
      </c>
      <c r="L108" s="4">
        <f ca="1">Values!L32/Values!L$3</f>
        <v>-0.24366437787341433</v>
      </c>
      <c r="M108" s="4">
        <f ca="1">Values!M32/Values!M$3</f>
        <v>-0.14198126649186738</v>
      </c>
      <c r="N108" s="4">
        <f ca="1">Values!N32/Values!N$3</f>
        <v>-4.7706016253681066E-2</v>
      </c>
      <c r="O108" s="4">
        <f ca="1">Values!O32/Values!O$3</f>
        <v>3.0776963326020958E-2</v>
      </c>
      <c r="P108" s="4">
        <f ca="1">Values!P32/Values!P$3</f>
        <v>9.1610395800808445E-2</v>
      </c>
      <c r="Q108" s="4">
        <f ca="1">Values!Q32/Values!Q$3</f>
        <v>0.14719868118443435</v>
      </c>
      <c r="R108" s="4">
        <f ca="1">Values!R32/Values!R$3</f>
        <v>0.19891026267171605</v>
      </c>
    </row>
    <row r="109" spans="1:18" outlineLevel="1">
      <c r="A109" t="s">
        <v>165</v>
      </c>
      <c r="B109" s="2"/>
      <c r="C109" s="2"/>
      <c r="D109" s="2"/>
      <c r="E109" s="7"/>
      <c r="F109" s="2"/>
      <c r="G109" s="2"/>
      <c r="H109" s="8"/>
      <c r="I109" s="5">
        <v>0.09</v>
      </c>
      <c r="J109" s="5">
        <f>I109</f>
        <v>0.09</v>
      </c>
      <c r="K109" s="5">
        <f t="shared" ref="K109:R109" si="94">J109</f>
        <v>0.09</v>
      </c>
      <c r="L109" s="5">
        <f t="shared" si="94"/>
        <v>0.09</v>
      </c>
      <c r="M109" s="5">
        <f t="shared" si="94"/>
        <v>0.09</v>
      </c>
      <c r="N109" s="5">
        <f t="shared" si="94"/>
        <v>0.09</v>
      </c>
      <c r="O109" s="5">
        <f t="shared" si="94"/>
        <v>0.09</v>
      </c>
      <c r="P109" s="5">
        <f t="shared" si="94"/>
        <v>0.09</v>
      </c>
      <c r="Q109" s="5">
        <f t="shared" si="94"/>
        <v>0.09</v>
      </c>
      <c r="R109" s="5">
        <f t="shared" si="94"/>
        <v>0.09</v>
      </c>
    </row>
    <row r="110" spans="1:18" outlineLevel="1">
      <c r="A110" t="s">
        <v>66</v>
      </c>
      <c r="B110" s="2"/>
      <c r="C110" s="2"/>
      <c r="D110" s="2"/>
      <c r="E110" s="7"/>
      <c r="F110" s="2"/>
      <c r="G110" s="2"/>
      <c r="H110" s="8"/>
    </row>
    <row r="111" spans="1:18">
      <c r="B111" s="2"/>
      <c r="C111" s="2"/>
      <c r="D111" s="2"/>
      <c r="E111" s="7"/>
      <c r="F111" s="2"/>
      <c r="G111" s="2"/>
      <c r="H111" s="8"/>
    </row>
    <row r="112" spans="1:18">
      <c r="A112" s="91" t="s">
        <v>166</v>
      </c>
      <c r="B112" s="2"/>
      <c r="C112" s="2"/>
      <c r="D112" s="2"/>
      <c r="E112" s="7"/>
      <c r="F112" s="2"/>
      <c r="G112" s="2"/>
      <c r="H112" s="8"/>
    </row>
    <row r="113" spans="1:18">
      <c r="A113" s="190" t="s">
        <v>70</v>
      </c>
      <c r="B113" s="199">
        <f>-Values!B9/Values!B39</f>
        <v>134.6</v>
      </c>
      <c r="C113" s="199">
        <f>-Values!C9/Values!C39</f>
        <v>192</v>
      </c>
      <c r="D113" s="199">
        <f>-Values!D9/Values!D39</f>
        <v>181.25</v>
      </c>
      <c r="E113" s="200">
        <f>-Values!E9/Values!E39</f>
        <v>6.1333333333333337</v>
      </c>
      <c r="F113" s="199">
        <f>-Values!F9/Values!F39</f>
        <v>6.3829787234042552</v>
      </c>
      <c r="G113" s="199">
        <f>-Values!G9/Values!G39</f>
        <v>6.7380952380952381</v>
      </c>
      <c r="H113" s="201" t="e">
        <f ca="1">-Values!H9/Values!H39</f>
        <v>#DIV/0!</v>
      </c>
      <c r="I113" s="199">
        <v>25</v>
      </c>
      <c r="J113" s="199">
        <v>25</v>
      </c>
      <c r="K113" s="199">
        <v>25</v>
      </c>
      <c r="L113" s="199">
        <v>25</v>
      </c>
      <c r="M113" s="199">
        <v>25</v>
      </c>
      <c r="N113" s="199">
        <v>25</v>
      </c>
      <c r="O113" s="199">
        <v>25</v>
      </c>
      <c r="P113" s="199">
        <v>25</v>
      </c>
      <c r="Q113" s="199">
        <v>25</v>
      </c>
      <c r="R113" s="199">
        <v>25</v>
      </c>
    </row>
    <row r="114" spans="1:18">
      <c r="A114" t="s">
        <v>71</v>
      </c>
      <c r="B114" s="2">
        <f>Values!B3/Values!B40</f>
        <v>-3.0839416058394162</v>
      </c>
      <c r="C114" s="2">
        <f>Values!C3/Values!C40</f>
        <v>2.7267441860465116</v>
      </c>
      <c r="D114" s="2">
        <f>Values!D3/Values!D40</f>
        <v>2.6470588235294117</v>
      </c>
      <c r="E114" s="7">
        <f>Values!E3/Values!E40</f>
        <v>0.75</v>
      </c>
      <c r="F114" s="2">
        <f>Values!F3/Values!F40</f>
        <v>1.0594059405940595</v>
      </c>
      <c r="G114" s="2">
        <f>Values!G3/Values!G40</f>
        <v>1.232258064516129</v>
      </c>
      <c r="H114" s="275" t="e">
        <f ca="1">Values!H3/Values!H40</f>
        <v>#DIV/0!</v>
      </c>
      <c r="I114" s="276">
        <f t="shared" ref="I114:R114" ca="1" si="95">I192</f>
        <v>4.3365621820668272</v>
      </c>
      <c r="J114" s="276">
        <f t="shared" ca="1" si="95"/>
        <v>5.4146385000909181</v>
      </c>
      <c r="K114" s="276">
        <f t="shared" ca="1" si="95"/>
        <v>6.3230949455210101</v>
      </c>
      <c r="L114" s="276">
        <f t="shared" ca="1" si="95"/>
        <v>7.2093738366846871</v>
      </c>
      <c r="M114" s="276">
        <f t="shared" ca="1" si="95"/>
        <v>7.6500637387751365</v>
      </c>
      <c r="N114" s="276">
        <f t="shared" ca="1" si="95"/>
        <v>8.1124088613613026</v>
      </c>
      <c r="O114" s="276">
        <f t="shared" ca="1" si="95"/>
        <v>8.5629754850943396</v>
      </c>
      <c r="P114" s="276">
        <f t="shared" ca="1" si="95"/>
        <v>9.0031357528967462</v>
      </c>
      <c r="Q114" s="276">
        <f t="shared" ca="1" si="95"/>
        <v>9.4317786941564119</v>
      </c>
      <c r="R114" s="276">
        <f t="shared" ca="1" si="95"/>
        <v>9.8598023427929409</v>
      </c>
    </row>
    <row r="115" spans="1:18">
      <c r="B115" s="2"/>
      <c r="C115" s="2"/>
      <c r="D115" s="2"/>
      <c r="E115" s="7"/>
      <c r="F115" s="2"/>
      <c r="G115" s="2"/>
      <c r="H115" s="8"/>
    </row>
    <row r="116" spans="1:18">
      <c r="A116" s="20" t="s">
        <v>167</v>
      </c>
      <c r="B116" s="2"/>
      <c r="C116" s="2"/>
      <c r="D116" s="2"/>
      <c r="E116" s="7"/>
      <c r="F116" s="2"/>
      <c r="G116" s="2"/>
      <c r="H116" s="8"/>
    </row>
    <row r="117" spans="1:18">
      <c r="A117" t="s">
        <v>168</v>
      </c>
      <c r="B117" s="6">
        <f>Values!B$3/Values!B45</f>
        <v>-1.650390625</v>
      </c>
      <c r="C117" s="6">
        <f>Values!C$3/Values!C45</f>
        <v>1.2213541666666667</v>
      </c>
      <c r="D117" s="6">
        <f>Values!D$3/Values!D45</f>
        <v>1.5306122448979591</v>
      </c>
      <c r="E117" s="14">
        <f>Values!E$3/Values!E45</f>
        <v>0.44881889763779526</v>
      </c>
      <c r="F117" s="15">
        <f>Values!F$3/Values!F45</f>
        <v>0.6497975708502024</v>
      </c>
      <c r="G117" s="15">
        <f>Values!G$3/Values!G45</f>
        <v>0.81276595744680846</v>
      </c>
      <c r="H117" s="16"/>
      <c r="I117" s="261">
        <f t="shared" ref="I117:R117" ca="1" si="96">I161</f>
        <v>2.7765159163190751</v>
      </c>
      <c r="J117" s="79">
        <f t="shared" ca="1" si="96"/>
        <v>3.1875628206846947</v>
      </c>
      <c r="K117" s="79">
        <f t="shared" ca="1" si="96"/>
        <v>3.5946683418432803</v>
      </c>
      <c r="L117" s="79">
        <f t="shared" ca="1" si="96"/>
        <v>3.9973326433065748</v>
      </c>
      <c r="M117" s="79">
        <f t="shared" ca="1" si="96"/>
        <v>4.1672309109264889</v>
      </c>
      <c r="N117" s="79">
        <f t="shared" ca="1" si="96"/>
        <v>4.2822363970095099</v>
      </c>
      <c r="O117" s="79">
        <f t="shared" ca="1" si="96"/>
        <v>4.4075673036235052</v>
      </c>
      <c r="P117" s="79">
        <f t="shared" ca="1" si="96"/>
        <v>4.5523632219349164</v>
      </c>
      <c r="Q117" s="79">
        <f t="shared" ca="1" si="96"/>
        <v>4.725198180155024</v>
      </c>
      <c r="R117" s="79">
        <f t="shared" ca="1" si="96"/>
        <v>4.9059367689538576</v>
      </c>
    </row>
    <row r="118" spans="1:18">
      <c r="A118" t="s">
        <v>76</v>
      </c>
      <c r="B118" s="6">
        <f>Values!B$3/Values!B46</f>
        <v>-0.7029950083194676</v>
      </c>
      <c r="C118" s="6">
        <f>Values!C$3/Values!C46</f>
        <v>0.51369112814895945</v>
      </c>
      <c r="D118" s="6">
        <f>Values!D$3/Values!D46</f>
        <v>1</v>
      </c>
      <c r="E118" s="14">
        <f>Values!E$3/Values!E46</f>
        <v>0.25193370165745854</v>
      </c>
      <c r="F118" s="15">
        <f>Values!F$3/Values!F46</f>
        <v>0.35469613259668509</v>
      </c>
      <c r="G118" s="15">
        <f>Values!G$3/Values!G46</f>
        <v>0.42256637168141592</v>
      </c>
      <c r="H118" s="16"/>
      <c r="I118" s="262">
        <f ca="1">I163</f>
        <v>1.4993967884771306</v>
      </c>
      <c r="J118" s="79">
        <f t="shared" ref="J118:R118" ca="1" si="97">J163</f>
        <v>2.2341490705600071</v>
      </c>
      <c r="K118" s="79">
        <f t="shared" ca="1" si="97"/>
        <v>3.0332902862185178</v>
      </c>
      <c r="L118" s="79">
        <f t="shared" ca="1" si="97"/>
        <v>3.9696059541659414</v>
      </c>
      <c r="M118" s="79">
        <f t="shared" ca="1" si="97"/>
        <v>4.6929377402609074</v>
      </c>
      <c r="N118" s="79">
        <f t="shared" ca="1" si="97"/>
        <v>5.4784221845440921</v>
      </c>
      <c r="O118" s="79">
        <f t="shared" ca="1" si="97"/>
        <v>6.262578775901253</v>
      </c>
      <c r="P118" s="79">
        <f t="shared" ca="1" si="97"/>
        <v>7.0190696224748734</v>
      </c>
      <c r="Q118" s="79">
        <f t="shared" ca="1" si="97"/>
        <v>7.7741649545885219</v>
      </c>
      <c r="R118" s="79">
        <f t="shared" ca="1" si="97"/>
        <v>8.5453147687754463</v>
      </c>
    </row>
    <row r="119" spans="1:18">
      <c r="B119" s="2"/>
      <c r="C119" s="2"/>
      <c r="D119" s="2"/>
      <c r="E119" s="7"/>
      <c r="F119" s="2"/>
      <c r="G119" s="2"/>
      <c r="H119" s="8"/>
    </row>
    <row r="120" spans="1:18">
      <c r="A120" s="20" t="s">
        <v>169</v>
      </c>
      <c r="B120" s="2"/>
      <c r="C120" s="2"/>
      <c r="D120" s="2"/>
      <c r="E120" s="7"/>
      <c r="F120" s="2"/>
      <c r="G120" s="2"/>
      <c r="H120" s="8"/>
    </row>
    <row r="121" spans="1:18">
      <c r="A121" t="s">
        <v>170</v>
      </c>
      <c r="B121" s="6">
        <f>-Values!B9/Values!B60</f>
        <v>0.85951468710089396</v>
      </c>
      <c r="C121" s="6">
        <f>-Values!C9/Values!C60</f>
        <v>0.68899521531100483</v>
      </c>
      <c r="D121" s="6">
        <f>-Values!D9/Values!D60</f>
        <v>0.70662768031189083</v>
      </c>
      <c r="E121" s="14">
        <f>-Values!E9/Values!E60</f>
        <v>0.27655310621242485</v>
      </c>
      <c r="F121" s="15">
        <f>-Values!F9/Values!F60</f>
        <v>0.29850746268656714</v>
      </c>
      <c r="G121" s="15">
        <f>-Values!G9/Values!G60</f>
        <v>0.28243512974051899</v>
      </c>
      <c r="H121" s="16" t="e">
        <f ca="1">-Values!H9/Values!H60</f>
        <v>#DIV/0!</v>
      </c>
      <c r="I121" s="6">
        <v>0.3</v>
      </c>
      <c r="J121" s="6">
        <f t="shared" ref="J121:R121" si="98">I121</f>
        <v>0.3</v>
      </c>
      <c r="K121" s="6">
        <f t="shared" si="98"/>
        <v>0.3</v>
      </c>
      <c r="L121" s="6">
        <f t="shared" si="98"/>
        <v>0.3</v>
      </c>
      <c r="M121" s="6">
        <f t="shared" si="98"/>
        <v>0.3</v>
      </c>
      <c r="N121" s="6">
        <f t="shared" si="98"/>
        <v>0.3</v>
      </c>
      <c r="O121" s="6">
        <f t="shared" si="98"/>
        <v>0.3</v>
      </c>
      <c r="P121" s="6">
        <f t="shared" si="98"/>
        <v>0.3</v>
      </c>
      <c r="Q121" s="6">
        <f t="shared" si="98"/>
        <v>0.3</v>
      </c>
      <c r="R121" s="6">
        <f t="shared" si="98"/>
        <v>0.3</v>
      </c>
    </row>
    <row r="122" spans="1:18">
      <c r="B122" s="2"/>
      <c r="C122" s="2"/>
      <c r="D122" s="2"/>
      <c r="E122" s="7"/>
      <c r="F122" s="2"/>
      <c r="G122" s="2"/>
      <c r="H122" s="8"/>
    </row>
    <row r="123" spans="1:18">
      <c r="A123" s="20" t="s">
        <v>171</v>
      </c>
      <c r="B123" s="2"/>
      <c r="C123" s="2"/>
      <c r="D123" s="2"/>
      <c r="E123" s="7"/>
      <c r="F123" s="2"/>
      <c r="G123" s="2"/>
      <c r="H123" s="8"/>
      <c r="J123">
        <v>1</v>
      </c>
    </row>
    <row r="124" spans="1:18" hidden="1" outlineLevel="1">
      <c r="A124" t="s">
        <v>92</v>
      </c>
      <c r="B124" s="2"/>
      <c r="C124" s="2"/>
      <c r="D124" s="2"/>
      <c r="E124" s="7"/>
      <c r="F124" s="2"/>
      <c r="G124" s="2"/>
      <c r="H124" s="8"/>
    </row>
    <row r="125" spans="1:18" hidden="1" outlineLevel="1">
      <c r="A125" t="s">
        <v>66</v>
      </c>
      <c r="B125" s="2"/>
      <c r="C125" s="2"/>
      <c r="D125" s="2"/>
      <c r="E125" s="7"/>
      <c r="F125" s="2"/>
      <c r="G125" s="2"/>
      <c r="H125" s="8"/>
    </row>
    <row r="126" spans="1:18" hidden="1" outlineLevel="1">
      <c r="A126" t="s">
        <v>93</v>
      </c>
      <c r="B126" s="2"/>
      <c r="C126" s="2"/>
      <c r="D126" s="2"/>
      <c r="E126" s="7"/>
      <c r="F126" s="2"/>
      <c r="G126" s="2"/>
      <c r="H126" s="8"/>
    </row>
    <row r="127" spans="1:18" hidden="1" outlineLevel="1">
      <c r="A127" t="s">
        <v>94</v>
      </c>
      <c r="B127" s="2"/>
      <c r="C127" s="2"/>
      <c r="D127" s="2"/>
      <c r="E127" s="7"/>
      <c r="F127" s="2"/>
      <c r="G127" s="2"/>
      <c r="H127" s="8"/>
    </row>
    <row r="128" spans="1:18" hidden="1" outlineLevel="1">
      <c r="B128" s="2"/>
      <c r="C128" s="2"/>
      <c r="D128" s="2"/>
      <c r="E128" s="7"/>
      <c r="F128" s="2"/>
      <c r="G128" s="2"/>
      <c r="H128" s="8"/>
    </row>
    <row r="129" spans="1:30" ht="15.75" hidden="1" outlineLevel="1" thickBot="1">
      <c r="A129" t="s">
        <v>95</v>
      </c>
      <c r="B129" s="3"/>
      <c r="C129" s="3"/>
      <c r="D129" s="3"/>
      <c r="E129" s="17"/>
      <c r="F129" s="18"/>
      <c r="G129" s="18"/>
      <c r="H129" s="13"/>
    </row>
    <row r="130" spans="1:30" ht="15.75" collapsed="1" thickBot="1"/>
    <row r="131" spans="1:30">
      <c r="A131" s="259" t="s">
        <v>172</v>
      </c>
      <c r="T131" s="857" t="str">
        <f>A133</f>
        <v>GMV turnover per PPE asset</v>
      </c>
      <c r="U131" s="858"/>
      <c r="V131" s="858"/>
      <c r="W131" s="858"/>
      <c r="X131" s="858"/>
      <c r="Y131" s="858"/>
      <c r="Z131" s="858"/>
      <c r="AA131" s="858"/>
      <c r="AB131" s="858"/>
      <c r="AC131" s="858"/>
      <c r="AD131" s="859"/>
    </row>
    <row r="132" spans="1:30" outlineLevel="2">
      <c r="T132" s="537"/>
      <c r="U132" s="605" t="str">
        <f>I2</f>
        <v>2022F</v>
      </c>
      <c r="V132" s="605" t="str">
        <f t="shared" ref="V132:AD132" si="99">J2</f>
        <v>2023F</v>
      </c>
      <c r="W132" s="605" t="str">
        <f t="shared" si="99"/>
        <v>2024F</v>
      </c>
      <c r="X132" s="605" t="str">
        <f t="shared" si="99"/>
        <v>2025F</v>
      </c>
      <c r="Y132" s="605" t="str">
        <f t="shared" si="99"/>
        <v>2026F</v>
      </c>
      <c r="Z132" s="605" t="str">
        <f t="shared" si="99"/>
        <v>2027F</v>
      </c>
      <c r="AA132" s="605" t="str">
        <f t="shared" si="99"/>
        <v>2028F</v>
      </c>
      <c r="AB132" s="605" t="str">
        <f t="shared" si="99"/>
        <v>2029F</v>
      </c>
      <c r="AC132" s="605" t="str">
        <f t="shared" si="99"/>
        <v>2030F</v>
      </c>
      <c r="AD132" s="606" t="str">
        <f t="shared" si="99"/>
        <v>2031F</v>
      </c>
    </row>
    <row r="133" spans="1:30" outlineLevel="2">
      <c r="A133" s="69" t="s">
        <v>173</v>
      </c>
      <c r="T133" s="537" t="str">
        <f>A134</f>
        <v>Computers</v>
      </c>
      <c r="U133" s="206">
        <f t="shared" ref="U133:AD136" si="100">I134</f>
        <v>798</v>
      </c>
      <c r="V133" s="206">
        <f t="shared" si="100"/>
        <v>798</v>
      </c>
      <c r="W133" s="206">
        <f t="shared" si="100"/>
        <v>798</v>
      </c>
      <c r="X133" s="206">
        <f t="shared" si="100"/>
        <v>798</v>
      </c>
      <c r="Y133" s="206">
        <f t="shared" si="100"/>
        <v>798</v>
      </c>
      <c r="Z133" s="206">
        <f t="shared" si="100"/>
        <v>798</v>
      </c>
      <c r="AA133" s="206">
        <f t="shared" si="100"/>
        <v>798</v>
      </c>
      <c r="AB133" s="206">
        <f t="shared" si="100"/>
        <v>798</v>
      </c>
      <c r="AC133" s="206">
        <f t="shared" si="100"/>
        <v>798</v>
      </c>
      <c r="AD133" s="538">
        <f t="shared" si="100"/>
        <v>798</v>
      </c>
    </row>
    <row r="134" spans="1:30" outlineLevel="2">
      <c r="A134" s="77" t="s">
        <v>174</v>
      </c>
      <c r="B134">
        <f>'PPE, CA, CL supporting'!B72</f>
        <v>490</v>
      </c>
      <c r="C134">
        <f>'PPE, CA, CL supporting'!C72</f>
        <v>833</v>
      </c>
      <c r="D134">
        <f>'PPE, CA, CL supporting'!D72</f>
        <v>1071</v>
      </c>
      <c r="I134">
        <f>AVERAGE($B$134:$D$134)</f>
        <v>798</v>
      </c>
      <c r="J134">
        <f t="shared" ref="J134:R134" si="101">AVERAGE($B$134:$D$134)</f>
        <v>798</v>
      </c>
      <c r="K134">
        <f t="shared" si="101"/>
        <v>798</v>
      </c>
      <c r="L134">
        <f t="shared" si="101"/>
        <v>798</v>
      </c>
      <c r="M134">
        <f t="shared" si="101"/>
        <v>798</v>
      </c>
      <c r="N134">
        <f t="shared" si="101"/>
        <v>798</v>
      </c>
      <c r="O134">
        <f t="shared" si="101"/>
        <v>798</v>
      </c>
      <c r="P134">
        <f t="shared" si="101"/>
        <v>798</v>
      </c>
      <c r="Q134">
        <f t="shared" si="101"/>
        <v>798</v>
      </c>
      <c r="R134">
        <f t="shared" si="101"/>
        <v>798</v>
      </c>
      <c r="T134" s="537" t="str">
        <f>A135</f>
        <v>Buildings and Reno</v>
      </c>
      <c r="U134" s="206">
        <f t="shared" si="100"/>
        <v>164</v>
      </c>
      <c r="V134" s="206">
        <f t="shared" si="100"/>
        <v>164</v>
      </c>
      <c r="W134" s="206">
        <f t="shared" si="100"/>
        <v>164</v>
      </c>
      <c r="X134" s="206">
        <f t="shared" si="100"/>
        <v>164</v>
      </c>
      <c r="Y134" s="206">
        <f t="shared" si="100"/>
        <v>164</v>
      </c>
      <c r="Z134" s="206">
        <f t="shared" si="100"/>
        <v>164</v>
      </c>
      <c r="AA134" s="206">
        <f t="shared" si="100"/>
        <v>164</v>
      </c>
      <c r="AB134" s="206">
        <f t="shared" si="100"/>
        <v>164</v>
      </c>
      <c r="AC134" s="206">
        <f t="shared" si="100"/>
        <v>164</v>
      </c>
      <c r="AD134" s="538">
        <f t="shared" si="100"/>
        <v>164</v>
      </c>
    </row>
    <row r="135" spans="1:30" outlineLevel="2">
      <c r="A135" s="77" t="s">
        <v>175</v>
      </c>
      <c r="B135">
        <f>'PPE, CA, CL supporting'!B73</f>
        <v>173</v>
      </c>
      <c r="C135">
        <f>'PPE, CA, CL supporting'!C73</f>
        <v>219</v>
      </c>
      <c r="D135">
        <f>'PPE, CA, CL supporting'!D73</f>
        <v>100</v>
      </c>
      <c r="I135">
        <f>AVERAGE($B$135:$D$135)</f>
        <v>164</v>
      </c>
      <c r="J135">
        <f t="shared" ref="J135:R135" si="102">AVERAGE($B$135:$D$135)</f>
        <v>164</v>
      </c>
      <c r="K135">
        <f t="shared" si="102"/>
        <v>164</v>
      </c>
      <c r="L135">
        <f t="shared" si="102"/>
        <v>164</v>
      </c>
      <c r="M135">
        <f t="shared" si="102"/>
        <v>164</v>
      </c>
      <c r="N135">
        <f t="shared" si="102"/>
        <v>164</v>
      </c>
      <c r="O135">
        <f t="shared" si="102"/>
        <v>164</v>
      </c>
      <c r="P135">
        <f t="shared" si="102"/>
        <v>164</v>
      </c>
      <c r="Q135">
        <f t="shared" si="102"/>
        <v>164</v>
      </c>
      <c r="R135">
        <f t="shared" si="102"/>
        <v>164</v>
      </c>
      <c r="T135" s="537" t="str">
        <f>A136</f>
        <v>Motor vehicles for leasing</v>
      </c>
      <c r="U135" s="206">
        <f t="shared" si="100"/>
        <v>12</v>
      </c>
      <c r="V135" s="206">
        <f t="shared" si="100"/>
        <v>12</v>
      </c>
      <c r="W135" s="206">
        <f t="shared" si="100"/>
        <v>12</v>
      </c>
      <c r="X135" s="206">
        <f t="shared" si="100"/>
        <v>12</v>
      </c>
      <c r="Y135" s="206">
        <f t="shared" si="100"/>
        <v>12</v>
      </c>
      <c r="Z135" s="206">
        <f t="shared" si="100"/>
        <v>12</v>
      </c>
      <c r="AA135" s="206">
        <f t="shared" si="100"/>
        <v>12</v>
      </c>
      <c r="AB135" s="206">
        <f t="shared" si="100"/>
        <v>12</v>
      </c>
      <c r="AC135" s="206">
        <f t="shared" si="100"/>
        <v>12</v>
      </c>
      <c r="AD135" s="538">
        <f t="shared" si="100"/>
        <v>12</v>
      </c>
    </row>
    <row r="136" spans="1:30" ht="15.75" outlineLevel="2" thickBot="1">
      <c r="A136" s="77" t="s">
        <v>176</v>
      </c>
      <c r="B136">
        <f>'PPE, CA, CL supporting'!B74</f>
        <v>14</v>
      </c>
      <c r="C136">
        <f>'PPE, CA, CL supporting'!C74</f>
        <v>11</v>
      </c>
      <c r="D136">
        <f>'PPE, CA, CL supporting'!D74</f>
        <v>11</v>
      </c>
      <c r="I136">
        <f>AVERAGE($B$136:$D$136)</f>
        <v>12</v>
      </c>
      <c r="J136">
        <f t="shared" ref="J136:R136" si="103">AVERAGE($B$136:$D$136)</f>
        <v>12</v>
      </c>
      <c r="K136">
        <f t="shared" si="103"/>
        <v>12</v>
      </c>
      <c r="L136">
        <f t="shared" si="103"/>
        <v>12</v>
      </c>
      <c r="M136">
        <f t="shared" si="103"/>
        <v>12</v>
      </c>
      <c r="N136">
        <f t="shared" si="103"/>
        <v>12</v>
      </c>
      <c r="O136">
        <f t="shared" si="103"/>
        <v>12</v>
      </c>
      <c r="P136">
        <f t="shared" si="103"/>
        <v>12</v>
      </c>
      <c r="Q136">
        <f t="shared" si="103"/>
        <v>12</v>
      </c>
      <c r="R136">
        <f t="shared" si="103"/>
        <v>12</v>
      </c>
      <c r="T136" s="771" t="str">
        <f>A137</f>
        <v>Office and other equipment</v>
      </c>
      <c r="U136" s="772">
        <f t="shared" si="100"/>
        <v>714.33333333333337</v>
      </c>
      <c r="V136" s="772">
        <f t="shared" si="100"/>
        <v>714.33333333333337</v>
      </c>
      <c r="W136" s="772">
        <f t="shared" si="100"/>
        <v>714.33333333333337</v>
      </c>
      <c r="X136" s="772">
        <f t="shared" si="100"/>
        <v>714.33333333333337</v>
      </c>
      <c r="Y136" s="772">
        <f t="shared" si="100"/>
        <v>714.33333333333337</v>
      </c>
      <c r="Z136" s="772">
        <f t="shared" si="100"/>
        <v>714.33333333333337</v>
      </c>
      <c r="AA136" s="772">
        <f t="shared" si="100"/>
        <v>714.33333333333337</v>
      </c>
      <c r="AB136" s="772">
        <f t="shared" si="100"/>
        <v>714.33333333333337</v>
      </c>
      <c r="AC136" s="772">
        <f t="shared" si="100"/>
        <v>714.33333333333337</v>
      </c>
      <c r="AD136" s="773">
        <f t="shared" si="100"/>
        <v>714.33333333333337</v>
      </c>
    </row>
    <row r="137" spans="1:30" outlineLevel="2">
      <c r="A137" s="77" t="s">
        <v>177</v>
      </c>
      <c r="B137">
        <f>'PPE, CA, CL supporting'!B75</f>
        <v>557</v>
      </c>
      <c r="C137">
        <f>'PPE, CA, CL supporting'!C75</f>
        <v>694</v>
      </c>
      <c r="D137">
        <f>'PPE, CA, CL supporting'!D75</f>
        <v>892</v>
      </c>
      <c r="I137" s="257">
        <f>AVERAGE($B$137:$D$137)</f>
        <v>714.33333333333337</v>
      </c>
      <c r="J137" s="257">
        <f t="shared" ref="J137:R137" si="104">AVERAGE($B$137:$D$137)</f>
        <v>714.33333333333337</v>
      </c>
      <c r="K137" s="257">
        <f t="shared" si="104"/>
        <v>714.33333333333337</v>
      </c>
      <c r="L137" s="257">
        <f t="shared" si="104"/>
        <v>714.33333333333337</v>
      </c>
      <c r="M137" s="257">
        <f t="shared" si="104"/>
        <v>714.33333333333337</v>
      </c>
      <c r="N137" s="257">
        <f t="shared" si="104"/>
        <v>714.33333333333337</v>
      </c>
      <c r="O137" s="257">
        <f t="shared" si="104"/>
        <v>714.33333333333337</v>
      </c>
      <c r="P137" s="257">
        <f t="shared" si="104"/>
        <v>714.33333333333337</v>
      </c>
      <c r="Q137" s="257">
        <f t="shared" si="104"/>
        <v>714.33333333333337</v>
      </c>
      <c r="R137" s="257">
        <f t="shared" si="104"/>
        <v>714.33333333333337</v>
      </c>
      <c r="T137" s="857" t="str">
        <f>A145 &amp;" (PPE)"</f>
        <v>asset value per asset type (PPE)</v>
      </c>
      <c r="U137" s="858"/>
      <c r="V137" s="858"/>
      <c r="W137" s="858"/>
      <c r="X137" s="858"/>
      <c r="Y137" s="858"/>
      <c r="Z137" s="858"/>
      <c r="AA137" s="858"/>
      <c r="AB137" s="858"/>
      <c r="AC137" s="858"/>
      <c r="AD137" s="859"/>
    </row>
    <row r="138" spans="1:30" outlineLevel="3">
      <c r="T138" s="432"/>
      <c r="U138" s="605" t="str">
        <f t="shared" ref="U138:AD138" si="105">U132</f>
        <v>2022F</v>
      </c>
      <c r="V138" s="605" t="str">
        <f t="shared" si="105"/>
        <v>2023F</v>
      </c>
      <c r="W138" s="605" t="str">
        <f t="shared" si="105"/>
        <v>2024F</v>
      </c>
      <c r="X138" s="605" t="str">
        <f t="shared" si="105"/>
        <v>2025F</v>
      </c>
      <c r="Y138" s="605" t="str">
        <f t="shared" si="105"/>
        <v>2026F</v>
      </c>
      <c r="Z138" s="605" t="str">
        <f t="shared" si="105"/>
        <v>2027F</v>
      </c>
      <c r="AA138" s="605" t="str">
        <f t="shared" si="105"/>
        <v>2028F</v>
      </c>
      <c r="AB138" s="605" t="str">
        <f t="shared" si="105"/>
        <v>2029F</v>
      </c>
      <c r="AC138" s="605" t="str">
        <f t="shared" si="105"/>
        <v>2030F</v>
      </c>
      <c r="AD138" s="606" t="str">
        <f t="shared" si="105"/>
        <v>2031F</v>
      </c>
    </row>
    <row r="139" spans="1:30" outlineLevel="3">
      <c r="A139" s="69" t="s">
        <v>178</v>
      </c>
      <c r="T139" s="537" t="str">
        <f>A146</f>
        <v>Computers</v>
      </c>
      <c r="U139" s="770">
        <f t="shared" ref="U139:AD142" ca="1" si="106">I146</f>
        <v>23.190166232920795</v>
      </c>
      <c r="V139" s="770">
        <f t="shared" ca="1" si="106"/>
        <v>27.384735792957237</v>
      </c>
      <c r="W139" s="770">
        <f t="shared" ca="1" si="106"/>
        <v>31.700598429360507</v>
      </c>
      <c r="X139" s="770">
        <f t="shared" ca="1" si="106"/>
        <v>36.351432376176191</v>
      </c>
      <c r="Y139" s="770">
        <f t="shared" ca="1" si="106"/>
        <v>40.656510248774318</v>
      </c>
      <c r="Z139" s="770">
        <f t="shared" ca="1" si="106"/>
        <v>45.026774469726909</v>
      </c>
      <c r="AA139" s="770">
        <f t="shared" ca="1" si="106"/>
        <v>49.170623795430885</v>
      </c>
      <c r="AB139" s="770">
        <f t="shared" ca="1" si="106"/>
        <v>52.873933974451212</v>
      </c>
      <c r="AC139" s="770">
        <f t="shared" ca="1" si="106"/>
        <v>56.454443544648051</v>
      </c>
      <c r="AD139" s="688">
        <f t="shared" ca="1" si="106"/>
        <v>60.0021042854966</v>
      </c>
    </row>
    <row r="140" spans="1:30" outlineLevel="3">
      <c r="A140" s="77" t="s">
        <v>179</v>
      </c>
      <c r="B140" s="257">
        <f>'PPE, CA, CL supporting'!B150</f>
        <v>314.10256410256409</v>
      </c>
      <c r="C140" s="257">
        <f>'PPE, CA, CL supporting'!C150</f>
        <v>304.6829268292683</v>
      </c>
      <c r="D140" s="257">
        <f>'PPE, CA, CL supporting'!D150</f>
        <v>617.73076923076928</v>
      </c>
      <c r="I140" s="257">
        <f>AVERAGE($B$140:$D$140)</f>
        <v>412.17208672086718</v>
      </c>
      <c r="J140" s="257">
        <f t="shared" ref="J140:R140" si="107">AVERAGE($B$140:$D$140)</f>
        <v>412.17208672086718</v>
      </c>
      <c r="K140" s="257">
        <f t="shared" si="107"/>
        <v>412.17208672086718</v>
      </c>
      <c r="L140" s="257">
        <f t="shared" si="107"/>
        <v>412.17208672086718</v>
      </c>
      <c r="M140" s="257">
        <f t="shared" si="107"/>
        <v>412.17208672086718</v>
      </c>
      <c r="N140" s="257">
        <f t="shared" si="107"/>
        <v>412.17208672086718</v>
      </c>
      <c r="O140" s="257">
        <f t="shared" si="107"/>
        <v>412.17208672086718</v>
      </c>
      <c r="P140" s="257">
        <f t="shared" si="107"/>
        <v>412.17208672086718</v>
      </c>
      <c r="Q140" s="257">
        <f t="shared" si="107"/>
        <v>412.17208672086718</v>
      </c>
      <c r="R140" s="257">
        <f t="shared" si="107"/>
        <v>412.17208672086718</v>
      </c>
      <c r="T140" s="432" t="str">
        <f>A147</f>
        <v>Buildings and Reno</v>
      </c>
      <c r="U140" s="770">
        <f t="shared" ca="1" si="106"/>
        <v>112.83995520652923</v>
      </c>
      <c r="V140" s="770">
        <f t="shared" ca="1" si="106"/>
        <v>133.25011684621873</v>
      </c>
      <c r="W140" s="770">
        <f t="shared" ca="1" si="106"/>
        <v>154.25047284530294</v>
      </c>
      <c r="X140" s="770">
        <f t="shared" ca="1" si="106"/>
        <v>176.88075022066221</v>
      </c>
      <c r="Y140" s="770">
        <f t="shared" ca="1" si="106"/>
        <v>197.8286291373287</v>
      </c>
      <c r="Z140" s="770">
        <f t="shared" ca="1" si="106"/>
        <v>219.0936952856224</v>
      </c>
      <c r="AA140" s="770">
        <f t="shared" ca="1" si="106"/>
        <v>239.25705968752345</v>
      </c>
      <c r="AB140" s="770">
        <f t="shared" ca="1" si="106"/>
        <v>257.27682507080527</v>
      </c>
      <c r="AC140" s="770">
        <f t="shared" ca="1" si="106"/>
        <v>274.6990606623728</v>
      </c>
      <c r="AD140" s="688">
        <f t="shared" ca="1" si="106"/>
        <v>291.96145865747735</v>
      </c>
    </row>
    <row r="141" spans="1:30" outlineLevel="3">
      <c r="A141" s="77" t="s">
        <v>180</v>
      </c>
      <c r="B141" s="257">
        <f>'PPE, CA, CL supporting'!B151</f>
        <v>17.988252569750369</v>
      </c>
      <c r="C141" s="257">
        <f>'PPE, CA, CL supporting'!C151</f>
        <v>19.042682926829269</v>
      </c>
      <c r="D141" s="257">
        <f>'PPE, CA, CL supporting'!D151</f>
        <v>24.823802163833076</v>
      </c>
      <c r="I141" s="190"/>
      <c r="J141" s="190"/>
      <c r="K141" s="190"/>
      <c r="L141" s="190"/>
      <c r="M141" s="190"/>
      <c r="N141" s="190"/>
      <c r="O141" s="190"/>
      <c r="P141" s="190"/>
      <c r="Q141" s="190"/>
      <c r="R141" s="190"/>
      <c r="T141" s="432" t="str">
        <f>A148</f>
        <v>Motor vehicles for leasing</v>
      </c>
      <c r="U141" s="770">
        <f t="shared" si="106"/>
        <v>326.24901084507786</v>
      </c>
      <c r="V141" s="770">
        <f t="shared" si="106"/>
        <v>448.07467456087556</v>
      </c>
      <c r="W141" s="770">
        <f t="shared" si="106"/>
        <v>555.36174989170081</v>
      </c>
      <c r="X141" s="770">
        <f t="shared" si="106"/>
        <v>669.19286902669546</v>
      </c>
      <c r="Y141" s="770">
        <f t="shared" si="106"/>
        <v>772.22067895363932</v>
      </c>
      <c r="Z141" s="770">
        <f t="shared" si="106"/>
        <v>896.1865309044864</v>
      </c>
      <c r="AA141" s="770">
        <f t="shared" si="106"/>
        <v>1012.5790143070362</v>
      </c>
      <c r="AB141" s="770">
        <f t="shared" si="106"/>
        <v>1113.2271479791655</v>
      </c>
      <c r="AC141" s="770">
        <f t="shared" si="106"/>
        <v>1199.0506222810034</v>
      </c>
      <c r="AD141" s="688">
        <f t="shared" si="106"/>
        <v>1279.7642589883815</v>
      </c>
    </row>
    <row r="142" spans="1:30" outlineLevel="3">
      <c r="A142" s="77" t="s">
        <v>181</v>
      </c>
      <c r="B142" s="257">
        <f>'PPE, CA, CL supporting'!B152</f>
        <v>26.864035087719298</v>
      </c>
      <c r="C142" s="257">
        <f>'PPE, CA, CL supporting'!C152</f>
        <v>58.373831775700936</v>
      </c>
      <c r="D142" s="257" t="e">
        <f>'PPE, CA, CL supporting'!D152</f>
        <v>#DIV/0!</v>
      </c>
      <c r="I142" s="190"/>
      <c r="J142" s="190"/>
      <c r="K142" s="190"/>
      <c r="L142" s="190"/>
      <c r="M142" s="190"/>
      <c r="N142" s="190"/>
      <c r="O142" s="190"/>
      <c r="P142" s="190"/>
      <c r="Q142" s="190"/>
      <c r="R142" s="190"/>
      <c r="T142" s="432" t="str">
        <f>A149</f>
        <v>Office and other equipment</v>
      </c>
      <c r="U142" s="770">
        <f t="shared" ca="1" si="106"/>
        <v>25.906326626977311</v>
      </c>
      <c r="V142" s="770">
        <f t="shared" ca="1" si="106"/>
        <v>30.592187348735241</v>
      </c>
      <c r="W142" s="770">
        <f t="shared" ca="1" si="106"/>
        <v>35.413547662104079</v>
      </c>
      <c r="X142" s="770">
        <f t="shared" ca="1" si="106"/>
        <v>40.60911297646561</v>
      </c>
      <c r="Y142" s="770">
        <f t="shared" ca="1" si="106"/>
        <v>45.418425354907008</v>
      </c>
      <c r="Z142" s="770">
        <f t="shared" ca="1" si="106"/>
        <v>50.300559066974429</v>
      </c>
      <c r="AA142" s="770">
        <f t="shared" ca="1" si="106"/>
        <v>54.929758920327359</v>
      </c>
      <c r="AB142" s="770">
        <f t="shared" ca="1" si="106"/>
        <v>59.066821248173682</v>
      </c>
      <c r="AC142" s="770">
        <f t="shared" ca="1" si="106"/>
        <v>63.066699881422032</v>
      </c>
      <c r="AD142" s="688">
        <f t="shared" ca="1" si="106"/>
        <v>67.029882248940197</v>
      </c>
    </row>
    <row r="143" spans="1:30" ht="15.75" outlineLevel="3" thickBot="1">
      <c r="A143" s="77" t="s">
        <v>182</v>
      </c>
      <c r="B143" s="257">
        <f>'PPE, CA, CL supporting'!B153</f>
        <v>3062.5</v>
      </c>
      <c r="C143" s="257">
        <f>'PPE, CA, CL supporting'!C153</f>
        <v>6246</v>
      </c>
      <c r="D143" s="257">
        <f>'PPE, CA, CL supporting'!D153</f>
        <v>8030.5</v>
      </c>
      <c r="I143" s="190"/>
      <c r="J143" s="190"/>
      <c r="K143" s="190"/>
      <c r="L143" s="190"/>
      <c r="M143" s="190"/>
      <c r="N143" s="190"/>
      <c r="O143" s="190"/>
      <c r="P143" s="190"/>
      <c r="Q143" s="190"/>
      <c r="R143" s="190"/>
      <c r="T143" s="687" t="s">
        <v>183</v>
      </c>
      <c r="U143" s="776">
        <f t="shared" ref="U143:AD143" ca="1" si="108">SUM(U139:U142)</f>
        <v>488.18545891150524</v>
      </c>
      <c r="V143" s="776">
        <f t="shared" ca="1" si="108"/>
        <v>639.30171454878678</v>
      </c>
      <c r="W143" s="776">
        <f t="shared" ca="1" si="108"/>
        <v>776.72636882846837</v>
      </c>
      <c r="X143" s="776">
        <f t="shared" ca="1" si="108"/>
        <v>923.03416459999949</v>
      </c>
      <c r="Y143" s="776">
        <f t="shared" ca="1" si="108"/>
        <v>1056.1242436946493</v>
      </c>
      <c r="Z143" s="776">
        <f t="shared" ca="1" si="108"/>
        <v>1210.6075597268102</v>
      </c>
      <c r="AA143" s="776">
        <f t="shared" ca="1" si="108"/>
        <v>1355.936456710318</v>
      </c>
      <c r="AB143" s="776">
        <f t="shared" ca="1" si="108"/>
        <v>1482.4447282725957</v>
      </c>
      <c r="AC143" s="776">
        <f t="shared" ca="1" si="108"/>
        <v>1593.2708263694462</v>
      </c>
      <c r="AD143" s="777">
        <f t="shared" ca="1" si="108"/>
        <v>1698.7577041802956</v>
      </c>
    </row>
    <row r="144" spans="1:30" outlineLevel="3"/>
    <row r="145" spans="1:30" outlineLevel="2">
      <c r="A145" s="69" t="s">
        <v>184</v>
      </c>
    </row>
    <row r="146" spans="1:30" outlineLevel="2">
      <c r="A146" s="77" t="s">
        <v>174</v>
      </c>
      <c r="I146" s="100">
        <f ca="1">I$24/I134</f>
        <v>23.190166232920795</v>
      </c>
      <c r="J146" s="100">
        <f t="shared" ref="J146:R146" ca="1" si="109">J$24/J134</f>
        <v>27.384735792957237</v>
      </c>
      <c r="K146" s="100">
        <f t="shared" ca="1" si="109"/>
        <v>31.700598429360507</v>
      </c>
      <c r="L146" s="100">
        <f t="shared" ca="1" si="109"/>
        <v>36.351432376176191</v>
      </c>
      <c r="M146" s="100">
        <f t="shared" ca="1" si="109"/>
        <v>40.656510248774318</v>
      </c>
      <c r="N146" s="100">
        <f t="shared" ca="1" si="109"/>
        <v>45.026774469726909</v>
      </c>
      <c r="O146" s="100">
        <f t="shared" ca="1" si="109"/>
        <v>49.170623795430885</v>
      </c>
      <c r="P146" s="100">
        <f t="shared" ca="1" si="109"/>
        <v>52.873933974451212</v>
      </c>
      <c r="Q146" s="100">
        <f t="shared" ca="1" si="109"/>
        <v>56.454443544648051</v>
      </c>
      <c r="R146" s="100">
        <f t="shared" ca="1" si="109"/>
        <v>60.0021042854966</v>
      </c>
    </row>
    <row r="147" spans="1:30" outlineLevel="2">
      <c r="A147" s="77" t="s">
        <v>175</v>
      </c>
      <c r="I147" s="100">
        <f ca="1">I$24/I135</f>
        <v>112.83995520652923</v>
      </c>
      <c r="J147" s="100">
        <f t="shared" ref="J147:R147" ca="1" si="110">J$24/J135</f>
        <v>133.25011684621873</v>
      </c>
      <c r="K147" s="100">
        <f t="shared" ca="1" si="110"/>
        <v>154.25047284530294</v>
      </c>
      <c r="L147" s="100">
        <f t="shared" ca="1" si="110"/>
        <v>176.88075022066221</v>
      </c>
      <c r="M147" s="100">
        <f t="shared" ca="1" si="110"/>
        <v>197.8286291373287</v>
      </c>
      <c r="N147" s="100">
        <f t="shared" ca="1" si="110"/>
        <v>219.0936952856224</v>
      </c>
      <c r="O147" s="100">
        <f t="shared" ca="1" si="110"/>
        <v>239.25705968752345</v>
      </c>
      <c r="P147" s="100">
        <f t="shared" ca="1" si="110"/>
        <v>257.27682507080527</v>
      </c>
      <c r="Q147" s="100">
        <f t="shared" ca="1" si="110"/>
        <v>274.6990606623728</v>
      </c>
      <c r="R147" s="100">
        <f t="shared" ca="1" si="110"/>
        <v>291.96145865747735</v>
      </c>
    </row>
    <row r="148" spans="1:30" outlineLevel="2">
      <c r="A148" s="77" t="s">
        <v>176</v>
      </c>
      <c r="I148" s="100">
        <f t="shared" ref="I148:R148" si="111">I21/I136</f>
        <v>326.24901084507786</v>
      </c>
      <c r="J148" s="100">
        <f t="shared" si="111"/>
        <v>448.07467456087556</v>
      </c>
      <c r="K148" s="100">
        <f t="shared" si="111"/>
        <v>555.36174989170081</v>
      </c>
      <c r="L148" s="100">
        <f t="shared" si="111"/>
        <v>669.19286902669546</v>
      </c>
      <c r="M148" s="100">
        <f t="shared" si="111"/>
        <v>772.22067895363932</v>
      </c>
      <c r="N148" s="100">
        <f t="shared" si="111"/>
        <v>896.1865309044864</v>
      </c>
      <c r="O148" s="100">
        <f t="shared" si="111"/>
        <v>1012.5790143070362</v>
      </c>
      <c r="P148" s="100">
        <f t="shared" si="111"/>
        <v>1113.2271479791655</v>
      </c>
      <c r="Q148" s="100">
        <f t="shared" si="111"/>
        <v>1199.0506222810034</v>
      </c>
      <c r="R148" s="100">
        <f t="shared" si="111"/>
        <v>1279.7642589883815</v>
      </c>
    </row>
    <row r="149" spans="1:30" outlineLevel="2">
      <c r="A149" s="77" t="s">
        <v>177</v>
      </c>
      <c r="I149" s="100">
        <f ca="1">I$24/I137</f>
        <v>25.906326626977311</v>
      </c>
      <c r="J149" s="100">
        <f t="shared" ref="J149:R149" ca="1" si="112">J$24/J137</f>
        <v>30.592187348735241</v>
      </c>
      <c r="K149" s="100">
        <f t="shared" ca="1" si="112"/>
        <v>35.413547662104079</v>
      </c>
      <c r="L149" s="100">
        <f t="shared" ca="1" si="112"/>
        <v>40.60911297646561</v>
      </c>
      <c r="M149" s="100">
        <f t="shared" ca="1" si="112"/>
        <v>45.418425354907008</v>
      </c>
      <c r="N149" s="100">
        <f t="shared" ca="1" si="112"/>
        <v>50.300559066974429</v>
      </c>
      <c r="O149" s="100">
        <f t="shared" ca="1" si="112"/>
        <v>54.929758920327359</v>
      </c>
      <c r="P149" s="100">
        <f t="shared" ca="1" si="112"/>
        <v>59.066821248173682</v>
      </c>
      <c r="Q149" s="100">
        <f t="shared" ca="1" si="112"/>
        <v>63.066699881422032</v>
      </c>
      <c r="R149" s="100">
        <f t="shared" ca="1" si="112"/>
        <v>67.029882248940197</v>
      </c>
      <c r="U149" s="100"/>
      <c r="V149" s="100"/>
      <c r="W149" s="100"/>
      <c r="X149" s="100"/>
      <c r="Y149" s="100"/>
      <c r="Z149" s="100"/>
      <c r="AA149" s="100"/>
      <c r="AB149" s="100"/>
      <c r="AC149" s="100"/>
      <c r="AD149" s="100"/>
    </row>
    <row r="150" spans="1:30" outlineLevel="2">
      <c r="A150" s="77" t="s">
        <v>179</v>
      </c>
      <c r="I150" s="100">
        <f ca="1">I$24/I140</f>
        <v>44.898122046783172</v>
      </c>
      <c r="J150" s="100">
        <f t="shared" ref="J150:R150" ca="1" si="113">J$24/J140</f>
        <v>53.019163273856684</v>
      </c>
      <c r="K150" s="100">
        <f t="shared" ca="1" si="113"/>
        <v>61.37503814944526</v>
      </c>
      <c r="L150" s="100">
        <f t="shared" ca="1" si="113"/>
        <v>70.379445796468531</v>
      </c>
      <c r="M150" s="100">
        <f t="shared" ca="1" si="113"/>
        <v>78.714440457715156</v>
      </c>
      <c r="N150" s="100">
        <f t="shared" ca="1" si="113"/>
        <v>87.175641399451806</v>
      </c>
      <c r="O150" s="100">
        <f t="shared" ca="1" si="113"/>
        <v>95.198483965574468</v>
      </c>
      <c r="P150" s="100">
        <f t="shared" ca="1" si="113"/>
        <v>102.36840550579655</v>
      </c>
      <c r="Q150" s="100">
        <f t="shared" ca="1" si="113"/>
        <v>109.30057468723864</v>
      </c>
      <c r="R150" s="100">
        <f t="shared" ca="1" si="113"/>
        <v>116.1691457584145</v>
      </c>
    </row>
    <row r="151" spans="1:30" outlineLevel="2">
      <c r="A151" s="77"/>
    </row>
    <row r="152" spans="1:30" outlineLevel="2">
      <c r="A152" s="69" t="s">
        <v>185</v>
      </c>
    </row>
    <row r="153" spans="1:30" outlineLevel="2">
      <c r="A153" s="77" t="s">
        <v>180</v>
      </c>
      <c r="B153">
        <f>'PPE, CA, CL supporting'!B111</f>
        <v>681</v>
      </c>
      <c r="C153">
        <f>'PPE, CA, CL supporting'!C111</f>
        <v>656</v>
      </c>
      <c r="D153">
        <f>'PPE, CA, CL supporting'!D111</f>
        <v>647</v>
      </c>
      <c r="G153" s="2">
        <f ca="1">Values!G46-I150-D155</f>
        <v>857.10187795321679</v>
      </c>
      <c r="I153" s="79">
        <f ca="1">G153</f>
        <v>857.10187795321679</v>
      </c>
      <c r="J153" s="79">
        <f ca="1">I153</f>
        <v>857.10187795321679</v>
      </c>
      <c r="K153" s="79">
        <f t="shared" ref="K153:R153" ca="1" si="114">J153</f>
        <v>857.10187795321679</v>
      </c>
      <c r="L153" s="79">
        <f t="shared" ca="1" si="114"/>
        <v>857.10187795321679</v>
      </c>
      <c r="M153" s="79">
        <f t="shared" ca="1" si="114"/>
        <v>857.10187795321679</v>
      </c>
      <c r="N153" s="79">
        <f t="shared" ca="1" si="114"/>
        <v>857.10187795321679</v>
      </c>
      <c r="O153" s="79">
        <f t="shared" ca="1" si="114"/>
        <v>857.10187795321679</v>
      </c>
      <c r="P153" s="79">
        <f t="shared" ca="1" si="114"/>
        <v>857.10187795321679</v>
      </c>
      <c r="Q153" s="79">
        <f t="shared" ca="1" si="114"/>
        <v>857.10187795321679</v>
      </c>
      <c r="R153" s="79">
        <f t="shared" ca="1" si="114"/>
        <v>857.10187795321679</v>
      </c>
    </row>
    <row r="154" spans="1:30" outlineLevel="2">
      <c r="A154" s="77" t="s">
        <v>181</v>
      </c>
      <c r="B154">
        <f>'PPE, CA, CL supporting'!B112</f>
        <v>456</v>
      </c>
      <c r="C154">
        <f>'PPE, CA, CL supporting'!C112</f>
        <v>214</v>
      </c>
      <c r="D154">
        <f>'PPE, CA, CL supporting'!D112</f>
        <v>0</v>
      </c>
      <c r="I154">
        <v>0</v>
      </c>
      <c r="J154">
        <v>0</v>
      </c>
      <c r="K154">
        <v>0</v>
      </c>
      <c r="L154">
        <v>0</v>
      </c>
      <c r="M154">
        <v>0</v>
      </c>
      <c r="N154">
        <v>0</v>
      </c>
      <c r="O154">
        <v>0</v>
      </c>
      <c r="P154">
        <v>0</v>
      </c>
      <c r="Q154">
        <v>0</v>
      </c>
      <c r="R154">
        <v>0</v>
      </c>
    </row>
    <row r="155" spans="1:30" outlineLevel="2">
      <c r="A155" s="77" t="s">
        <v>182</v>
      </c>
      <c r="B155">
        <f>'PPE, CA, CL supporting'!B113</f>
        <v>4</v>
      </c>
      <c r="C155">
        <f>'PPE, CA, CL supporting'!C113</f>
        <v>2</v>
      </c>
      <c r="D155">
        <f>'PPE, CA, CL supporting'!D113</f>
        <v>2</v>
      </c>
      <c r="I155">
        <f>$D$155</f>
        <v>2</v>
      </c>
      <c r="J155">
        <f>I155</f>
        <v>2</v>
      </c>
      <c r="K155">
        <f t="shared" ref="K155:R155" si="115">J155</f>
        <v>2</v>
      </c>
      <c r="L155">
        <f t="shared" si="115"/>
        <v>2</v>
      </c>
      <c r="M155">
        <f t="shared" si="115"/>
        <v>2</v>
      </c>
      <c r="N155">
        <f t="shared" si="115"/>
        <v>2</v>
      </c>
      <c r="O155">
        <f t="shared" si="115"/>
        <v>2</v>
      </c>
      <c r="P155">
        <f t="shared" si="115"/>
        <v>2</v>
      </c>
      <c r="Q155">
        <f t="shared" si="115"/>
        <v>2</v>
      </c>
      <c r="R155">
        <f t="shared" si="115"/>
        <v>2</v>
      </c>
    </row>
    <row r="156" spans="1:30" outlineLevel="2"/>
    <row r="157" spans="1:30" outlineLevel="1">
      <c r="A157" s="69" t="s">
        <v>186</v>
      </c>
      <c r="I157" s="100">
        <f ca="1">SUM(I146:I149)</f>
        <v>488.18545891150524</v>
      </c>
      <c r="J157" s="100">
        <f t="shared" ref="J157:R157" ca="1" si="116">SUM(J146:J149)</f>
        <v>639.30171454878678</v>
      </c>
      <c r="K157" s="100">
        <f t="shared" ca="1" si="116"/>
        <v>776.72636882846837</v>
      </c>
      <c r="L157" s="100">
        <f t="shared" ca="1" si="116"/>
        <v>923.03416459999949</v>
      </c>
      <c r="M157" s="100">
        <f t="shared" ca="1" si="116"/>
        <v>1056.1242436946493</v>
      </c>
      <c r="N157" s="100">
        <f t="shared" ca="1" si="116"/>
        <v>1210.6075597268102</v>
      </c>
      <c r="O157" s="100">
        <f t="shared" ca="1" si="116"/>
        <v>1355.936456710318</v>
      </c>
      <c r="P157" s="100">
        <f t="shared" ca="1" si="116"/>
        <v>1482.4447282725957</v>
      </c>
      <c r="Q157" s="100">
        <f t="shared" ca="1" si="116"/>
        <v>1593.2708263694462</v>
      </c>
      <c r="R157" s="100">
        <f t="shared" ca="1" si="116"/>
        <v>1698.7577041802956</v>
      </c>
    </row>
    <row r="158" spans="1:30" outlineLevel="1"/>
    <row r="159" spans="1:30" outlineLevel="1">
      <c r="A159" s="20" t="s">
        <v>187</v>
      </c>
      <c r="I159" s="100">
        <f ca="1">SUM(I150,I153:I155)</f>
        <v>904</v>
      </c>
      <c r="J159" s="100">
        <f t="shared" ref="J159:R159" ca="1" si="117">SUM(J150,J153:J155)</f>
        <v>912.12104122707342</v>
      </c>
      <c r="K159" s="100">
        <f t="shared" ca="1" si="117"/>
        <v>920.47691610266202</v>
      </c>
      <c r="L159" s="100">
        <f t="shared" ca="1" si="117"/>
        <v>929.48132374968532</v>
      </c>
      <c r="M159" s="100">
        <f t="shared" ca="1" si="117"/>
        <v>937.8163184109319</v>
      </c>
      <c r="N159" s="100">
        <f t="shared" ca="1" si="117"/>
        <v>946.27751935266861</v>
      </c>
      <c r="O159" s="100">
        <f t="shared" ca="1" si="117"/>
        <v>954.30036191879128</v>
      </c>
      <c r="P159" s="100">
        <f t="shared" ca="1" si="117"/>
        <v>961.47028345901333</v>
      </c>
      <c r="Q159" s="100">
        <f t="shared" ca="1" si="117"/>
        <v>968.40245264045541</v>
      </c>
      <c r="R159" s="100">
        <f t="shared" ca="1" si="117"/>
        <v>975.2710237116313</v>
      </c>
    </row>
    <row r="160" spans="1:30" outlineLevel="1"/>
    <row r="161" spans="1:30" outlineLevel="1">
      <c r="A161" s="20" t="s">
        <v>188</v>
      </c>
      <c r="I161" s="270">
        <f t="shared" ref="I161:R161" ca="1" si="118">I70/I157</f>
        <v>2.7765159163190751</v>
      </c>
      <c r="J161" s="270">
        <f t="shared" ca="1" si="118"/>
        <v>3.1875628206846947</v>
      </c>
      <c r="K161" s="270">
        <f t="shared" ca="1" si="118"/>
        <v>3.5946683418432803</v>
      </c>
      <c r="L161" s="270">
        <f t="shared" ca="1" si="118"/>
        <v>3.9973326433065748</v>
      </c>
      <c r="M161" s="270">
        <f t="shared" ca="1" si="118"/>
        <v>4.1672309109264889</v>
      </c>
      <c r="N161" s="270">
        <f t="shared" ca="1" si="118"/>
        <v>4.2822363970095099</v>
      </c>
      <c r="O161" s="270">
        <f t="shared" ca="1" si="118"/>
        <v>4.4075673036235052</v>
      </c>
      <c r="P161" s="270">
        <f t="shared" ca="1" si="118"/>
        <v>4.5523632219349164</v>
      </c>
      <c r="Q161" s="270">
        <f t="shared" ca="1" si="118"/>
        <v>4.725198180155024</v>
      </c>
      <c r="R161" s="270">
        <f t="shared" ca="1" si="118"/>
        <v>4.9059367689538576</v>
      </c>
    </row>
    <row r="162" spans="1:30" outlineLevel="1"/>
    <row r="163" spans="1:30" outlineLevel="1">
      <c r="A163" s="20" t="s">
        <v>189</v>
      </c>
      <c r="I163" s="271">
        <f t="shared" ref="I163:R163" ca="1" si="119">I70/I159</f>
        <v>1.4993967884771306</v>
      </c>
      <c r="J163" s="271">
        <f t="shared" ca="1" si="119"/>
        <v>2.2341490705600071</v>
      </c>
      <c r="K163" s="271">
        <f t="shared" ca="1" si="119"/>
        <v>3.0332902862185178</v>
      </c>
      <c r="L163" s="271">
        <f t="shared" ca="1" si="119"/>
        <v>3.9696059541659414</v>
      </c>
      <c r="M163" s="271">
        <f t="shared" ca="1" si="119"/>
        <v>4.6929377402609074</v>
      </c>
      <c r="N163" s="271">
        <f t="shared" ca="1" si="119"/>
        <v>5.4784221845440921</v>
      </c>
      <c r="O163" s="271">
        <f t="shared" ca="1" si="119"/>
        <v>6.262578775901253</v>
      </c>
      <c r="P163" s="271">
        <f t="shared" ca="1" si="119"/>
        <v>7.0190696224748734</v>
      </c>
      <c r="Q163" s="271">
        <f t="shared" ca="1" si="119"/>
        <v>7.7741649545885219</v>
      </c>
      <c r="R163" s="271">
        <f t="shared" ca="1" si="119"/>
        <v>8.5453147687754463</v>
      </c>
    </row>
    <row r="164" spans="1:30" outlineLevel="2">
      <c r="U164" s="860" t="str">
        <f>A159</f>
        <v>Total Net Intangibles Value</v>
      </c>
      <c r="V164" s="861"/>
      <c r="W164" s="861"/>
      <c r="X164" s="861"/>
      <c r="Y164" s="861"/>
      <c r="Z164" s="861"/>
      <c r="AA164" s="861"/>
      <c r="AB164" s="861"/>
      <c r="AC164" s="861"/>
      <c r="AD164" s="862"/>
    </row>
    <row r="165" spans="1:30" ht="15.75" outlineLevel="2" thickBot="1">
      <c r="A165" s="20" t="s">
        <v>190</v>
      </c>
      <c r="U165" s="794">
        <f t="shared" ref="U165:AD165" ca="1" si="120">I159</f>
        <v>904</v>
      </c>
      <c r="V165" s="774">
        <f t="shared" ca="1" si="120"/>
        <v>912.12104122707342</v>
      </c>
      <c r="W165" s="774">
        <f t="shared" ca="1" si="120"/>
        <v>920.47691610266202</v>
      </c>
      <c r="X165" s="774">
        <f t="shared" ca="1" si="120"/>
        <v>929.48132374968532</v>
      </c>
      <c r="Y165" s="774">
        <f t="shared" ca="1" si="120"/>
        <v>937.8163184109319</v>
      </c>
      <c r="Z165" s="774">
        <f t="shared" ca="1" si="120"/>
        <v>946.27751935266861</v>
      </c>
      <c r="AA165" s="774">
        <f t="shared" ca="1" si="120"/>
        <v>954.30036191879128</v>
      </c>
      <c r="AB165" s="774">
        <f t="shared" ca="1" si="120"/>
        <v>961.47028345901333</v>
      </c>
      <c r="AC165" s="774">
        <f t="shared" ca="1" si="120"/>
        <v>968.40245264045541</v>
      </c>
      <c r="AD165" s="775">
        <f t="shared" ca="1" si="120"/>
        <v>975.2710237116313</v>
      </c>
    </row>
    <row r="166" spans="1:30" outlineLevel="2">
      <c r="A166" s="20" t="s">
        <v>191</v>
      </c>
    </row>
    <row r="167" spans="1:30" outlineLevel="2">
      <c r="A167" t="str">
        <f>'PPE, CA, CL supporting'!A130</f>
        <v>Software</v>
      </c>
      <c r="I167">
        <f>'PPE, CA, CL supporting'!$D130</f>
        <v>4.5</v>
      </c>
      <c r="J167">
        <f>'PPE, CA, CL supporting'!$D130</f>
        <v>4.5</v>
      </c>
      <c r="K167">
        <f>'PPE, CA, CL supporting'!$D130</f>
        <v>4.5</v>
      </c>
      <c r="L167">
        <f>'PPE, CA, CL supporting'!$D130</f>
        <v>4.5</v>
      </c>
      <c r="M167">
        <f>'PPE, CA, CL supporting'!$D130</f>
        <v>4.5</v>
      </c>
      <c r="N167">
        <f>'PPE, CA, CL supporting'!$D130</f>
        <v>4.5</v>
      </c>
      <c r="O167">
        <f>'PPE, CA, CL supporting'!$D130</f>
        <v>4.5</v>
      </c>
      <c r="P167">
        <f>'PPE, CA, CL supporting'!$D130</f>
        <v>4.5</v>
      </c>
      <c r="Q167">
        <f>'PPE, CA, CL supporting'!$D130</f>
        <v>4.5</v>
      </c>
      <c r="R167">
        <f>'PPE, CA, CL supporting'!$D130</f>
        <v>4.5</v>
      </c>
    </row>
    <row r="168" spans="1:30" outlineLevel="2">
      <c r="A168" t="str">
        <f>'PPE, CA, CL supporting'!A131</f>
        <v>Goodwill</v>
      </c>
      <c r="F168" t="s">
        <v>192</v>
      </c>
      <c r="I168">
        <f>'PPE, CA, CL supporting'!$D131</f>
        <v>38.4</v>
      </c>
      <c r="J168">
        <f>'PPE, CA, CL supporting'!$D131</f>
        <v>38.4</v>
      </c>
      <c r="K168">
        <f>'PPE, CA, CL supporting'!$D131</f>
        <v>38.4</v>
      </c>
      <c r="L168">
        <f>'PPE, CA, CL supporting'!$D131</f>
        <v>38.4</v>
      </c>
      <c r="M168">
        <f>'PPE, CA, CL supporting'!$D131</f>
        <v>38.4</v>
      </c>
      <c r="N168">
        <f>'PPE, CA, CL supporting'!$D131</f>
        <v>38.4</v>
      </c>
      <c r="O168">
        <f>'PPE, CA, CL supporting'!$D131</f>
        <v>38.4</v>
      </c>
      <c r="P168">
        <f>'PPE, CA, CL supporting'!$D131</f>
        <v>38.4</v>
      </c>
      <c r="Q168">
        <f>'PPE, CA, CL supporting'!$D131</f>
        <v>38.4</v>
      </c>
      <c r="R168">
        <f>'PPE, CA, CL supporting'!$D131</f>
        <v>38.4</v>
      </c>
    </row>
    <row r="169" spans="1:30" outlineLevel="2">
      <c r="A169" t="str">
        <f>'PPE, CA, CL supporting'!A132</f>
        <v>Non-compete agreement</v>
      </c>
      <c r="F169" t="s">
        <v>193</v>
      </c>
      <c r="I169">
        <f>'PPE, CA, CL supporting'!$D132</f>
        <v>7.2</v>
      </c>
      <c r="J169">
        <f>'PPE, CA, CL supporting'!$D132</f>
        <v>7.2</v>
      </c>
      <c r="K169">
        <f>'PPE, CA, CL supporting'!$D132</f>
        <v>7.2</v>
      </c>
      <c r="L169">
        <f>'PPE, CA, CL supporting'!$D132</f>
        <v>7.2</v>
      </c>
      <c r="M169">
        <f>'PPE, CA, CL supporting'!$D132</f>
        <v>7.2</v>
      </c>
      <c r="N169">
        <f>'PPE, CA, CL supporting'!$D132</f>
        <v>7.2</v>
      </c>
      <c r="O169">
        <f>'PPE, CA, CL supporting'!$D132</f>
        <v>7.2</v>
      </c>
      <c r="P169">
        <f>'PPE, CA, CL supporting'!$D132</f>
        <v>7.2</v>
      </c>
      <c r="Q169">
        <f>'PPE, CA, CL supporting'!$D132</f>
        <v>7.2</v>
      </c>
      <c r="R169">
        <f>'PPE, CA, CL supporting'!$D132</f>
        <v>7.2</v>
      </c>
    </row>
    <row r="170" spans="1:30" outlineLevel="2">
      <c r="A170" t="str">
        <f>'PPE, CA, CL supporting'!A133</f>
        <v>other intangible assets</v>
      </c>
      <c r="F170" t="s">
        <v>193</v>
      </c>
      <c r="I170">
        <f>'PPE, CA, CL supporting'!$D133</f>
        <v>11.4</v>
      </c>
      <c r="J170">
        <f>'PPE, CA, CL supporting'!$D133</f>
        <v>11.4</v>
      </c>
      <c r="K170">
        <f>'PPE, CA, CL supporting'!$D133</f>
        <v>11.4</v>
      </c>
      <c r="L170">
        <f>'PPE, CA, CL supporting'!$D133</f>
        <v>11.4</v>
      </c>
      <c r="M170">
        <f>'PPE, CA, CL supporting'!$D133</f>
        <v>11.4</v>
      </c>
      <c r="N170">
        <f>'PPE, CA, CL supporting'!$D133</f>
        <v>11.4</v>
      </c>
      <c r="O170">
        <f>'PPE, CA, CL supporting'!$D133</f>
        <v>11.4</v>
      </c>
      <c r="P170">
        <f>'PPE, CA, CL supporting'!$D133</f>
        <v>11.4</v>
      </c>
      <c r="Q170">
        <f>'PPE, CA, CL supporting'!$D133</f>
        <v>11.4</v>
      </c>
      <c r="R170">
        <f>'PPE, CA, CL supporting'!$D133</f>
        <v>11.4</v>
      </c>
    </row>
    <row r="171" spans="1:30" outlineLevel="2"/>
    <row r="172" spans="1:30" outlineLevel="2">
      <c r="A172" s="20" t="s">
        <v>194</v>
      </c>
    </row>
    <row r="173" spans="1:30" outlineLevel="2">
      <c r="A173" t="str">
        <f>'PPE, CA, CL supporting'!A52</f>
        <v>Computers</v>
      </c>
      <c r="I173">
        <f>'PPE, CA, CL supporting'!$D52</f>
        <v>3.8</v>
      </c>
      <c r="J173">
        <f>'PPE, CA, CL supporting'!$D52</f>
        <v>3.8</v>
      </c>
      <c r="K173">
        <f>'PPE, CA, CL supporting'!$D52</f>
        <v>3.8</v>
      </c>
      <c r="L173">
        <f>'PPE, CA, CL supporting'!$D52</f>
        <v>3.8</v>
      </c>
      <c r="M173">
        <f>'PPE, CA, CL supporting'!$D52</f>
        <v>3.8</v>
      </c>
      <c r="N173">
        <f>'PPE, CA, CL supporting'!$D52</f>
        <v>3.8</v>
      </c>
      <c r="O173">
        <f>'PPE, CA, CL supporting'!$D52</f>
        <v>3.8</v>
      </c>
      <c r="P173">
        <f>'PPE, CA, CL supporting'!$D52</f>
        <v>3.8</v>
      </c>
      <c r="Q173">
        <f>'PPE, CA, CL supporting'!$D52</f>
        <v>3.8</v>
      </c>
      <c r="R173">
        <f>'PPE, CA, CL supporting'!$D52</f>
        <v>3.8</v>
      </c>
    </row>
    <row r="174" spans="1:30" outlineLevel="2">
      <c r="A174" t="str">
        <f>'PPE, CA, CL supporting'!A53</f>
        <v>Buildings and Reno</v>
      </c>
      <c r="I174">
        <f>'PPE, CA, CL supporting'!$D53</f>
        <v>10.9</v>
      </c>
      <c r="J174">
        <f>'PPE, CA, CL supporting'!$D53</f>
        <v>10.9</v>
      </c>
      <c r="K174">
        <f>'PPE, CA, CL supporting'!$D53</f>
        <v>10.9</v>
      </c>
      <c r="L174">
        <f>'PPE, CA, CL supporting'!$D53</f>
        <v>10.9</v>
      </c>
      <c r="M174">
        <f>'PPE, CA, CL supporting'!$D53</f>
        <v>10.9</v>
      </c>
      <c r="N174">
        <f>'PPE, CA, CL supporting'!$D53</f>
        <v>10.9</v>
      </c>
      <c r="O174">
        <f>'PPE, CA, CL supporting'!$D53</f>
        <v>10.9</v>
      </c>
      <c r="P174">
        <f>'PPE, CA, CL supporting'!$D53</f>
        <v>10.9</v>
      </c>
      <c r="Q174">
        <f>'PPE, CA, CL supporting'!$D53</f>
        <v>10.9</v>
      </c>
      <c r="R174">
        <f>'PPE, CA, CL supporting'!$D53</f>
        <v>10.9</v>
      </c>
    </row>
    <row r="175" spans="1:30" outlineLevel="2">
      <c r="A175" t="str">
        <f>'PPE, CA, CL supporting'!A54</f>
        <v>Motor vehicles for leasing</v>
      </c>
      <c r="I175">
        <f>'PPE, CA, CL supporting'!$D54</f>
        <v>10</v>
      </c>
      <c r="J175">
        <f>'PPE, CA, CL supporting'!$D54</f>
        <v>10</v>
      </c>
      <c r="K175">
        <f>'PPE, CA, CL supporting'!$D54</f>
        <v>10</v>
      </c>
      <c r="L175">
        <f>'PPE, CA, CL supporting'!$D54</f>
        <v>10</v>
      </c>
      <c r="M175">
        <f>'PPE, CA, CL supporting'!$D54</f>
        <v>10</v>
      </c>
      <c r="N175">
        <f>'PPE, CA, CL supporting'!$D54</f>
        <v>10</v>
      </c>
      <c r="O175">
        <f>'PPE, CA, CL supporting'!$D54</f>
        <v>10</v>
      </c>
      <c r="P175">
        <f>'PPE, CA, CL supporting'!$D54</f>
        <v>10</v>
      </c>
      <c r="Q175">
        <f>'PPE, CA, CL supporting'!$D54</f>
        <v>10</v>
      </c>
      <c r="R175">
        <f>'PPE, CA, CL supporting'!$D54</f>
        <v>10</v>
      </c>
    </row>
    <row r="176" spans="1:30" outlineLevel="2">
      <c r="A176" t="str">
        <f>'PPE, CA, CL supporting'!A55</f>
        <v>Office and other equipment</v>
      </c>
      <c r="I176">
        <f>'PPE, CA, CL supporting'!$D55</f>
        <v>7.1</v>
      </c>
      <c r="J176">
        <f>'PPE, CA, CL supporting'!$D55</f>
        <v>7.1</v>
      </c>
      <c r="K176">
        <f>'PPE, CA, CL supporting'!$D55</f>
        <v>7.1</v>
      </c>
      <c r="L176">
        <f>'PPE, CA, CL supporting'!$D55</f>
        <v>7.1</v>
      </c>
      <c r="M176">
        <f>'PPE, CA, CL supporting'!$D55</f>
        <v>7.1</v>
      </c>
      <c r="N176">
        <f>'PPE, CA, CL supporting'!$D55</f>
        <v>7.1</v>
      </c>
      <c r="O176">
        <f>'PPE, CA, CL supporting'!$D55</f>
        <v>7.1</v>
      </c>
      <c r="P176">
        <f>'PPE, CA, CL supporting'!$D55</f>
        <v>7.1</v>
      </c>
      <c r="Q176">
        <f>'PPE, CA, CL supporting'!$D55</f>
        <v>7.1</v>
      </c>
      <c r="R176">
        <f>'PPE, CA, CL supporting'!$D55</f>
        <v>7.1</v>
      </c>
    </row>
    <row r="177" spans="1:30" ht="15.75" outlineLevel="1" thickBot="1"/>
    <row r="178" spans="1:30" outlineLevel="1">
      <c r="A178" s="20" t="s">
        <v>195</v>
      </c>
      <c r="U178" s="851" t="str">
        <f>A178 &amp; " (PPE)"</f>
        <v>Calculated Depreciation rates (PPE)</v>
      </c>
      <c r="V178" s="852"/>
      <c r="W178" s="852"/>
      <c r="X178" s="852"/>
      <c r="Y178" s="852"/>
      <c r="Z178" s="852"/>
      <c r="AA178" s="852"/>
      <c r="AB178" s="852"/>
      <c r="AC178" s="852"/>
      <c r="AD178" s="853"/>
    </row>
    <row r="179" spans="1:30" outlineLevel="1">
      <c r="A179" s="77" t="s">
        <v>194</v>
      </c>
      <c r="I179" s="272">
        <f ca="1">(I146/I157)*(1/I173)+(I147/I157)*(1/I174)+(I148/I157)*(1/I175)+(I149/I157)*(1/I176)</f>
        <v>0.10800945278702706</v>
      </c>
      <c r="J179" s="272">
        <f t="shared" ref="J179:R179" ca="1" si="121">(J146/J157)*(1/J173)+(J147/J157)*(1/J174)+(J148/J157)*(1/J175)+(J149/J157)*(1/J176)</f>
        <v>0.10722248268521765</v>
      </c>
      <c r="K179" s="272">
        <f t="shared" ca="1" si="121"/>
        <v>0.10688150191221983</v>
      </c>
      <c r="L179" s="272">
        <f t="shared" ca="1" si="121"/>
        <v>0.10664029808738383</v>
      </c>
      <c r="M179" s="272">
        <f t="shared" ca="1" si="121"/>
        <v>0.1064908101920951</v>
      </c>
      <c r="N179" s="272">
        <f t="shared" ca="1" si="121"/>
        <v>0.10627120905872689</v>
      </c>
      <c r="O179" s="272">
        <f t="shared" ca="1" si="121"/>
        <v>0.10611434871090748</v>
      </c>
      <c r="P179" s="272">
        <f t="shared" ca="1" si="121"/>
        <v>0.10601377170898896</v>
      </c>
      <c r="Q179" s="272">
        <f t="shared" ca="1" si="121"/>
        <v>0.10597437323027663</v>
      </c>
      <c r="R179" s="272">
        <f t="shared" ca="1" si="121"/>
        <v>0.10595550872731002</v>
      </c>
      <c r="U179" s="778" t="s">
        <v>30</v>
      </c>
      <c r="V179" s="605" t="s">
        <v>31</v>
      </c>
      <c r="W179" s="605" t="s">
        <v>32</v>
      </c>
      <c r="X179" s="605" t="s">
        <v>33</v>
      </c>
      <c r="Y179" s="605" t="s">
        <v>34</v>
      </c>
      <c r="Z179" s="605" t="s">
        <v>35</v>
      </c>
      <c r="AA179" s="605" t="s">
        <v>36</v>
      </c>
      <c r="AB179" s="605" t="s">
        <v>37</v>
      </c>
      <c r="AC179" s="605" t="s">
        <v>38</v>
      </c>
      <c r="AD179" s="606" t="s">
        <v>39</v>
      </c>
    </row>
    <row r="180" spans="1:30" ht="15.75" outlineLevel="1" thickBot="1">
      <c r="A180" s="77" t="s">
        <v>191</v>
      </c>
      <c r="I180" s="272">
        <f ca="1">(I150/I159)*(1/I167)</f>
        <v>1.1036903158009629E-2</v>
      </c>
      <c r="J180" s="272">
        <f t="shared" ref="J180:R180" ca="1" si="122">(J150/J159)*(1/J167)</f>
        <v>1.291718505608524E-2</v>
      </c>
      <c r="K180" s="272">
        <f t="shared" ca="1" si="122"/>
        <v>1.481720739319684E-2</v>
      </c>
      <c r="L180" s="272">
        <f t="shared" ca="1" si="122"/>
        <v>1.6826456265485526E-2</v>
      </c>
      <c r="M180" s="272">
        <f t="shared" ca="1" si="122"/>
        <v>1.865194445446574E-2</v>
      </c>
      <c r="N180" s="272">
        <f t="shared" ca="1" si="122"/>
        <v>2.0472181108863306E-2</v>
      </c>
      <c r="O180" s="272">
        <f t="shared" ca="1" si="122"/>
        <v>2.2168302039077301E-2</v>
      </c>
      <c r="P180" s="272">
        <f t="shared" ca="1" si="122"/>
        <v>2.3660153567100262E-2</v>
      </c>
      <c r="Q180" s="272">
        <f t="shared" ca="1" si="122"/>
        <v>2.5081531475821314E-2</v>
      </c>
      <c r="R180" s="272">
        <f t="shared" ca="1" si="122"/>
        <v>2.6469940248860725E-2</v>
      </c>
      <c r="T180" s="272"/>
      <c r="U180" s="779">
        <f t="shared" ref="U180:AD180" ca="1" si="123">I179</f>
        <v>0.10800945278702706</v>
      </c>
      <c r="V180" s="780">
        <f t="shared" ca="1" si="123"/>
        <v>0.10722248268521765</v>
      </c>
      <c r="W180" s="780">
        <f t="shared" ca="1" si="123"/>
        <v>0.10688150191221983</v>
      </c>
      <c r="X180" s="780">
        <f t="shared" ca="1" si="123"/>
        <v>0.10664029808738383</v>
      </c>
      <c r="Y180" s="780">
        <f t="shared" ca="1" si="123"/>
        <v>0.1064908101920951</v>
      </c>
      <c r="Z180" s="780">
        <f t="shared" ca="1" si="123"/>
        <v>0.10627120905872689</v>
      </c>
      <c r="AA180" s="780">
        <f t="shared" ca="1" si="123"/>
        <v>0.10611434871090748</v>
      </c>
      <c r="AB180" s="780">
        <f t="shared" ca="1" si="123"/>
        <v>0.10601377170898896</v>
      </c>
      <c r="AC180" s="780">
        <f t="shared" ca="1" si="123"/>
        <v>0.10597437323027663</v>
      </c>
      <c r="AD180" s="781">
        <f t="shared" ca="1" si="123"/>
        <v>0.10595550872731002</v>
      </c>
    </row>
    <row r="181" spans="1:30">
      <c r="I181" s="5">
        <v>0.14000000000000001</v>
      </c>
      <c r="J181" s="5">
        <v>0.14000000000000001</v>
      </c>
      <c r="K181" s="5">
        <v>0.14000000000000001</v>
      </c>
      <c r="L181" s="5">
        <v>0.14000000000000001</v>
      </c>
      <c r="M181" s="5">
        <v>0.14000000000000001</v>
      </c>
      <c r="N181" s="5">
        <v>0.14000000000000001</v>
      </c>
      <c r="O181" s="5">
        <v>0.14000000000000001</v>
      </c>
      <c r="P181" s="5">
        <v>0.14000000000000001</v>
      </c>
      <c r="Q181" s="5">
        <v>0.14000000000000001</v>
      </c>
      <c r="R181" s="5">
        <v>0.14000000000000001</v>
      </c>
    </row>
    <row r="182" spans="1:30">
      <c r="A182" s="259" t="s">
        <v>196</v>
      </c>
    </row>
    <row r="184" spans="1:30">
      <c r="A184" s="20" t="s">
        <v>197</v>
      </c>
    </row>
    <row r="185" spans="1:30">
      <c r="A185" s="77" t="s">
        <v>198</v>
      </c>
      <c r="I185" s="79">
        <f>'PPE, CA, CL supporting'!$B$172</f>
        <v>46.879602293270864</v>
      </c>
      <c r="J185" s="79">
        <f>'PPE, CA, CL supporting'!$B$172</f>
        <v>46.879602293270864</v>
      </c>
      <c r="K185" s="79">
        <f>'PPE, CA, CL supporting'!$B$172</f>
        <v>46.879602293270864</v>
      </c>
      <c r="L185" s="79">
        <f>'PPE, CA, CL supporting'!$B$172</f>
        <v>46.879602293270864</v>
      </c>
      <c r="M185" s="79">
        <f>'PPE, CA, CL supporting'!$B$172</f>
        <v>46.879602293270864</v>
      </c>
      <c r="N185" s="79">
        <f>'PPE, CA, CL supporting'!$B$172</f>
        <v>46.879602293270864</v>
      </c>
      <c r="O185" s="79">
        <f>'PPE, CA, CL supporting'!$B$172</f>
        <v>46.879602293270864</v>
      </c>
      <c r="P185" s="79">
        <f>'PPE, CA, CL supporting'!$B$172</f>
        <v>46.879602293270864</v>
      </c>
      <c r="Q185" s="79">
        <f>'PPE, CA, CL supporting'!$B$172</f>
        <v>46.879602293270864</v>
      </c>
      <c r="R185" s="79">
        <f>'PPE, CA, CL supporting'!$B$172</f>
        <v>46.879602293270864</v>
      </c>
    </row>
    <row r="186" spans="1:30">
      <c r="A186" s="77" t="s">
        <v>199</v>
      </c>
      <c r="I186" s="79">
        <f>'PPE, CA, CL supporting'!$B$173</f>
        <v>179.15107902494444</v>
      </c>
      <c r="J186" s="79">
        <f>'PPE, CA, CL supporting'!$B$173</f>
        <v>179.15107902494444</v>
      </c>
      <c r="K186" s="79">
        <f>'PPE, CA, CL supporting'!$B$173</f>
        <v>179.15107902494444</v>
      </c>
      <c r="L186" s="79">
        <f>'PPE, CA, CL supporting'!$B$173</f>
        <v>179.15107902494444</v>
      </c>
      <c r="M186" s="79">
        <f>'PPE, CA, CL supporting'!$B$173</f>
        <v>179.15107902494444</v>
      </c>
      <c r="N186" s="79">
        <f>'PPE, CA, CL supporting'!$B$173</f>
        <v>179.15107902494444</v>
      </c>
      <c r="O186" s="79">
        <f>'PPE, CA, CL supporting'!$B$173</f>
        <v>179.15107902494444</v>
      </c>
      <c r="P186" s="79">
        <f>'PPE, CA, CL supporting'!$B$173</f>
        <v>179.15107902494444</v>
      </c>
      <c r="Q186" s="79">
        <f>'PPE, CA, CL supporting'!$B$173</f>
        <v>179.15107902494444</v>
      </c>
      <c r="R186" s="79">
        <f>'PPE, CA, CL supporting'!$B$173</f>
        <v>179.15107902494444</v>
      </c>
    </row>
    <row r="187" spans="1:30" ht="15.75" thickBot="1"/>
    <row r="188" spans="1:30" ht="15.75" thickBot="1">
      <c r="A188" s="20" t="s">
        <v>200</v>
      </c>
      <c r="U188" s="848" t="s">
        <v>201</v>
      </c>
      <c r="V188" s="849"/>
      <c r="W188" s="849"/>
      <c r="X188" s="849"/>
      <c r="Y188" s="849"/>
      <c r="Z188" s="849"/>
      <c r="AA188" s="849"/>
      <c r="AB188" s="849"/>
      <c r="AC188" s="849"/>
      <c r="AD188" s="850"/>
    </row>
    <row r="189" spans="1:30" ht="15.75" thickBot="1">
      <c r="A189" s="77" t="s">
        <v>202</v>
      </c>
      <c r="I189" s="79">
        <f>SUM(I20:I21)/I185</f>
        <v>283.43590823888172</v>
      </c>
      <c r="J189" s="79">
        <f t="shared" ref="J189:R189" si="124">SUM(J20:J21)/J185</f>
        <v>344.52621764451777</v>
      </c>
      <c r="K189" s="79">
        <f t="shared" si="124"/>
        <v>406.81657852646083</v>
      </c>
      <c r="L189" s="79">
        <f t="shared" si="124"/>
        <v>473.86647450008996</v>
      </c>
      <c r="M189" s="79">
        <f t="shared" si="124"/>
        <v>533.92061509730115</v>
      </c>
      <c r="N189" s="79">
        <f t="shared" si="124"/>
        <v>593.87197845501146</v>
      </c>
      <c r="O189" s="79">
        <f t="shared" si="124"/>
        <v>648.64514262243154</v>
      </c>
      <c r="P189" s="79">
        <f t="shared" si="124"/>
        <v>696.26339941243998</v>
      </c>
      <c r="Q189" s="79">
        <f t="shared" si="124"/>
        <v>740.51613989706755</v>
      </c>
      <c r="R189" s="79">
        <f t="shared" si="124"/>
        <v>782.82765125694641</v>
      </c>
      <c r="U189" s="804" t="str">
        <f t="shared" ref="U189:AD189" si="125">U179</f>
        <v>2022F</v>
      </c>
      <c r="V189" s="805" t="str">
        <f t="shared" si="125"/>
        <v>2023F</v>
      </c>
      <c r="W189" s="805" t="str">
        <f t="shared" si="125"/>
        <v>2024F</v>
      </c>
      <c r="X189" s="805" t="str">
        <f t="shared" si="125"/>
        <v>2025F</v>
      </c>
      <c r="Y189" s="805" t="str">
        <f t="shared" si="125"/>
        <v>2026F</v>
      </c>
      <c r="Z189" s="805" t="str">
        <f t="shared" si="125"/>
        <v>2027F</v>
      </c>
      <c r="AA189" s="805" t="str">
        <f t="shared" si="125"/>
        <v>2028F</v>
      </c>
      <c r="AB189" s="805" t="str">
        <f t="shared" si="125"/>
        <v>2029F</v>
      </c>
      <c r="AC189" s="805" t="str">
        <f t="shared" si="125"/>
        <v>2030F</v>
      </c>
      <c r="AD189" s="806" t="str">
        <f t="shared" si="125"/>
        <v>2031F</v>
      </c>
    </row>
    <row r="190" spans="1:30">
      <c r="A190" s="77" t="s">
        <v>203</v>
      </c>
      <c r="I190" s="79">
        <f ca="1">SUM(I22:I23)/I186</f>
        <v>29.128431871032202</v>
      </c>
      <c r="J190" s="79">
        <f t="shared" ref="J190:R190" ca="1" si="126">SUM(J22:J23)/J186</f>
        <v>31.826585310190094</v>
      </c>
      <c r="K190" s="79">
        <f t="shared" ca="1" si="126"/>
        <v>34.750994372370805</v>
      </c>
      <c r="L190" s="79">
        <f t="shared" ca="1" si="126"/>
        <v>37.922022063646395</v>
      </c>
      <c r="M190" s="79">
        <f t="shared" ca="1" si="126"/>
        <v>41.383558094838982</v>
      </c>
      <c r="N190" s="79">
        <f t="shared" ca="1" si="126"/>
        <v>45.162350725371105</v>
      </c>
      <c r="O190" s="79">
        <f t="shared" ca="1" si="126"/>
        <v>49.287626517297412</v>
      </c>
      <c r="P190" s="79">
        <f t="shared" ca="1" si="126"/>
        <v>53.322860837840516</v>
      </c>
      <c r="Q190" s="79">
        <f t="shared" ca="1" si="126"/>
        <v>57.691775426411994</v>
      </c>
      <c r="R190" s="79">
        <f t="shared" ca="1" si="126"/>
        <v>62.422343898739292</v>
      </c>
      <c r="U190" s="851" t="str">
        <f>A161</f>
        <v>Implied PPE rev turnover</v>
      </c>
      <c r="V190" s="852"/>
      <c r="W190" s="852"/>
      <c r="X190" s="852"/>
      <c r="Y190" s="852"/>
      <c r="Z190" s="852"/>
      <c r="AA190" s="852"/>
      <c r="AB190" s="852"/>
      <c r="AC190" s="852"/>
      <c r="AD190" s="853"/>
    </row>
    <row r="191" spans="1:30" ht="15.75" thickBot="1">
      <c r="U191" s="782">
        <f t="shared" ref="U191:AD191" ca="1" si="127">I161</f>
        <v>2.7765159163190751</v>
      </c>
      <c r="V191" s="783">
        <f t="shared" ca="1" si="127"/>
        <v>3.1875628206846947</v>
      </c>
      <c r="W191" s="783">
        <f t="shared" ca="1" si="127"/>
        <v>3.5946683418432803</v>
      </c>
      <c r="X191" s="783">
        <f t="shared" ca="1" si="127"/>
        <v>3.9973326433065748</v>
      </c>
      <c r="Y191" s="783">
        <f t="shared" ca="1" si="127"/>
        <v>4.1672309109264889</v>
      </c>
      <c r="Z191" s="783">
        <f t="shared" ca="1" si="127"/>
        <v>4.2822363970095099</v>
      </c>
      <c r="AA191" s="783">
        <f t="shared" ca="1" si="127"/>
        <v>4.4075673036235052</v>
      </c>
      <c r="AB191" s="783">
        <f t="shared" ca="1" si="127"/>
        <v>4.5523632219349164</v>
      </c>
      <c r="AC191" s="783">
        <f t="shared" ca="1" si="127"/>
        <v>4.725198180155024</v>
      </c>
      <c r="AD191" s="784">
        <f t="shared" ca="1" si="127"/>
        <v>4.9059367689538576</v>
      </c>
    </row>
    <row r="192" spans="1:30">
      <c r="A192" s="20" t="s">
        <v>204</v>
      </c>
      <c r="I192" s="79">
        <f ca="1">I70/SUM(I189:I190)</f>
        <v>4.3365621820668272</v>
      </c>
      <c r="J192" s="79">
        <f t="shared" ref="J192:R192" ca="1" si="128">J70/SUM(J189:J190)</f>
        <v>5.4146385000909181</v>
      </c>
      <c r="K192" s="79">
        <f t="shared" ca="1" si="128"/>
        <v>6.3230949455210101</v>
      </c>
      <c r="L192" s="79">
        <f t="shared" ca="1" si="128"/>
        <v>7.2093738366846871</v>
      </c>
      <c r="M192" s="79">
        <f t="shared" ca="1" si="128"/>
        <v>7.6500637387751365</v>
      </c>
      <c r="N192" s="79">
        <f t="shared" ca="1" si="128"/>
        <v>8.1124088613613026</v>
      </c>
      <c r="O192" s="79">
        <f t="shared" ca="1" si="128"/>
        <v>8.5629754850943396</v>
      </c>
      <c r="P192" s="79">
        <f t="shared" ca="1" si="128"/>
        <v>9.0031357528967462</v>
      </c>
      <c r="Q192" s="79">
        <f t="shared" ca="1" si="128"/>
        <v>9.4317786941564119</v>
      </c>
      <c r="R192" s="79">
        <f t="shared" ca="1" si="128"/>
        <v>9.8598023427929409</v>
      </c>
      <c r="U192" s="854" t="str">
        <f>A163</f>
        <v>Implied Intangibles rev turnover</v>
      </c>
      <c r="V192" s="855"/>
      <c r="W192" s="855"/>
      <c r="X192" s="855"/>
      <c r="Y192" s="855"/>
      <c r="Z192" s="855"/>
      <c r="AA192" s="855"/>
      <c r="AB192" s="855"/>
      <c r="AC192" s="855"/>
      <c r="AD192" s="856"/>
    </row>
    <row r="193" spans="1:30" ht="15.75" thickBot="1">
      <c r="U193" s="792">
        <f t="shared" ref="U193:AD193" ca="1" si="129">I163</f>
        <v>1.4993967884771306</v>
      </c>
      <c r="V193" s="791">
        <f t="shared" ca="1" si="129"/>
        <v>2.2341490705600071</v>
      </c>
      <c r="W193" s="791">
        <f t="shared" ca="1" si="129"/>
        <v>3.0332902862185178</v>
      </c>
      <c r="X193" s="791">
        <f t="shared" ca="1" si="129"/>
        <v>3.9696059541659414</v>
      </c>
      <c r="Y193" s="791">
        <f t="shared" ca="1" si="129"/>
        <v>4.6929377402609074</v>
      </c>
      <c r="Z193" s="791">
        <f t="shared" ca="1" si="129"/>
        <v>5.4784221845440921</v>
      </c>
      <c r="AA193" s="791">
        <f t="shared" ca="1" si="129"/>
        <v>6.262578775901253</v>
      </c>
      <c r="AB193" s="791">
        <f t="shared" ca="1" si="129"/>
        <v>7.0190696224748734</v>
      </c>
      <c r="AC193" s="791">
        <f t="shared" ca="1" si="129"/>
        <v>7.7741649545885219</v>
      </c>
      <c r="AD193" s="793">
        <f t="shared" ca="1" si="129"/>
        <v>8.5453147687754463</v>
      </c>
    </row>
    <row r="194" spans="1:30">
      <c r="A194" s="259" t="s">
        <v>205</v>
      </c>
      <c r="U194" s="851" t="str">
        <f>A192</f>
        <v>Implied receivables rev turnover</v>
      </c>
      <c r="V194" s="852"/>
      <c r="W194" s="852"/>
      <c r="X194" s="852"/>
      <c r="Y194" s="852"/>
      <c r="Z194" s="852"/>
      <c r="AA194" s="852"/>
      <c r="AB194" s="852"/>
      <c r="AC194" s="852"/>
      <c r="AD194" s="853"/>
    </row>
    <row r="195" spans="1:30" ht="15.75" thickBot="1">
      <c r="A195" s="20" t="s">
        <v>206</v>
      </c>
      <c r="I195" s="334">
        <f>'PPE, CA, CL supporting'!$E$179</f>
        <v>6.0837755402722271</v>
      </c>
      <c r="J195" s="334">
        <f>'PPE, CA, CL supporting'!$E$179</f>
        <v>6.0837755402722271</v>
      </c>
      <c r="K195" s="334">
        <f>'PPE, CA, CL supporting'!$E$179</f>
        <v>6.0837755402722271</v>
      </c>
      <c r="L195" s="334">
        <f>'PPE, CA, CL supporting'!$E$179</f>
        <v>6.0837755402722271</v>
      </c>
      <c r="M195" s="334">
        <f>'PPE, CA, CL supporting'!$E$179</f>
        <v>6.0837755402722271</v>
      </c>
      <c r="N195" s="334">
        <f>'PPE, CA, CL supporting'!$E$179</f>
        <v>6.0837755402722271</v>
      </c>
      <c r="O195" s="334">
        <f>'PPE, CA, CL supporting'!$E$179</f>
        <v>6.0837755402722271</v>
      </c>
      <c r="P195" s="334">
        <f>'PPE, CA, CL supporting'!$E$179</f>
        <v>6.0837755402722271</v>
      </c>
      <c r="Q195" s="334">
        <f>'PPE, CA, CL supporting'!$E$179</f>
        <v>6.0837755402722271</v>
      </c>
      <c r="R195" s="334">
        <f>'PPE, CA, CL supporting'!$E$179</f>
        <v>6.0837755402722271</v>
      </c>
      <c r="U195" s="800">
        <f t="shared" ref="U195:AD195" ca="1" si="130">I192</f>
        <v>4.3365621820668272</v>
      </c>
      <c r="V195" s="608">
        <f t="shared" ca="1" si="130"/>
        <v>5.4146385000909181</v>
      </c>
      <c r="W195" s="608">
        <f t="shared" ca="1" si="130"/>
        <v>6.3230949455210101</v>
      </c>
      <c r="X195" s="608">
        <f t="shared" ca="1" si="130"/>
        <v>7.2093738366846871</v>
      </c>
      <c r="Y195" s="608">
        <f t="shared" ca="1" si="130"/>
        <v>7.6500637387751365</v>
      </c>
      <c r="Z195" s="608">
        <f t="shared" ca="1" si="130"/>
        <v>8.1124088613613026</v>
      </c>
      <c r="AA195" s="608">
        <f t="shared" ca="1" si="130"/>
        <v>8.5629754850943396</v>
      </c>
      <c r="AB195" s="608">
        <f t="shared" ca="1" si="130"/>
        <v>9.0031357528967462</v>
      </c>
      <c r="AC195" s="608">
        <f t="shared" ca="1" si="130"/>
        <v>9.4317786941564119</v>
      </c>
      <c r="AD195" s="801">
        <f t="shared" ca="1" si="130"/>
        <v>9.8598023427929409</v>
      </c>
    </row>
    <row r="197" spans="1:30">
      <c r="A197" t="s">
        <v>207</v>
      </c>
      <c r="I197" s="226">
        <f ca="1">I24/I195</f>
        <v>3041.8204174973107</v>
      </c>
    </row>
  </sheetData>
  <mergeCells count="8">
    <mergeCell ref="U188:AD188"/>
    <mergeCell ref="U190:AD190"/>
    <mergeCell ref="U192:AD192"/>
    <mergeCell ref="U194:AD194"/>
    <mergeCell ref="T131:AD131"/>
    <mergeCell ref="T137:AD137"/>
    <mergeCell ref="U178:AD178"/>
    <mergeCell ref="U164:AD164"/>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D2F4F-8709-493C-AD2B-862286E15780}">
  <sheetPr codeName="Sheet5"/>
  <dimension ref="A1:AA70"/>
  <sheetViews>
    <sheetView zoomScale="89" workbookViewId="0">
      <selection activeCell="I7" sqref="I7"/>
    </sheetView>
  </sheetViews>
  <sheetFormatPr defaultColWidth="8.7109375" defaultRowHeight="15"/>
  <cols>
    <col min="1" max="1" width="35.7109375" bestFit="1" customWidth="1"/>
    <col min="2" max="2" width="17.7109375" customWidth="1"/>
    <col min="3" max="4" width="10.42578125" bestFit="1" customWidth="1"/>
    <col min="5" max="5" width="9.42578125" bestFit="1" customWidth="1"/>
    <col min="6" max="6" width="7.42578125" bestFit="1" customWidth="1"/>
    <col min="7" max="7" width="30.7109375" customWidth="1"/>
    <col min="8" max="8" width="7" bestFit="1" customWidth="1"/>
    <col min="9" max="9" width="7.42578125" bestFit="1" customWidth="1"/>
    <col min="10" max="10" width="9.7109375" customWidth="1"/>
    <col min="11" max="11" width="9" bestFit="1" customWidth="1"/>
    <col min="12" max="12" width="10" customWidth="1"/>
    <col min="13" max="13" width="9.7109375" customWidth="1"/>
    <col min="14" max="14" width="12.7109375" bestFit="1" customWidth="1"/>
    <col min="15" max="16" width="7" customWidth="1"/>
    <col min="17" max="17" width="7.42578125" bestFit="1" customWidth="1"/>
    <col min="18" max="18" width="7" customWidth="1"/>
    <col min="20" max="20" width="8.7109375" hidden="1" customWidth="1"/>
    <col min="22" max="22" width="8.7109375" bestFit="1" customWidth="1"/>
    <col min="23" max="23" width="16.28515625" bestFit="1" customWidth="1"/>
    <col min="24" max="24" width="10.140625" bestFit="1" customWidth="1"/>
    <col min="25" max="25" width="16.140625" bestFit="1" customWidth="1"/>
    <col min="26" max="26" width="23" bestFit="1" customWidth="1"/>
    <col min="27" max="27" width="7.7109375" bestFit="1" customWidth="1"/>
  </cols>
  <sheetData>
    <row r="1" spans="1:19">
      <c r="A1" s="868" t="s">
        <v>208</v>
      </c>
      <c r="B1" s="869"/>
      <c r="C1" s="869"/>
      <c r="D1" s="869"/>
      <c r="E1" s="869"/>
      <c r="F1" s="869"/>
      <c r="G1" s="869"/>
      <c r="H1" s="869"/>
      <c r="I1" s="869"/>
      <c r="J1" s="869"/>
      <c r="K1" s="869"/>
      <c r="L1" s="869"/>
      <c r="M1" s="869"/>
      <c r="N1" s="869"/>
      <c r="O1" s="869"/>
      <c r="P1" s="869"/>
      <c r="Q1" s="869"/>
      <c r="R1" s="870"/>
      <c r="S1" s="295"/>
    </row>
    <row r="2" spans="1:19">
      <c r="A2" s="826"/>
      <c r="B2" s="559" t="s">
        <v>209</v>
      </c>
      <c r="C2" s="559" t="s">
        <v>210</v>
      </c>
      <c r="D2" s="559" t="s">
        <v>211</v>
      </c>
      <c r="E2" s="559" t="s">
        <v>212</v>
      </c>
      <c r="F2" s="559" t="s">
        <v>213</v>
      </c>
      <c r="G2" s="559" t="s">
        <v>214</v>
      </c>
      <c r="H2" s="560" t="s">
        <v>215</v>
      </c>
      <c r="I2" s="560" t="s">
        <v>216</v>
      </c>
      <c r="J2" s="560" t="s">
        <v>217</v>
      </c>
      <c r="K2" s="560" t="s">
        <v>218</v>
      </c>
      <c r="L2" s="560" t="s">
        <v>219</v>
      </c>
      <c r="M2" s="560" t="s">
        <v>220</v>
      </c>
      <c r="N2" s="560" t="s">
        <v>221</v>
      </c>
      <c r="O2" s="560" t="s">
        <v>222</v>
      </c>
      <c r="P2" s="560" t="s">
        <v>223</v>
      </c>
      <c r="Q2" s="560" t="s">
        <v>224</v>
      </c>
      <c r="R2" s="827" t="s">
        <v>225</v>
      </c>
      <c r="S2" s="295"/>
    </row>
    <row r="3" spans="1:19">
      <c r="A3" s="826" t="s">
        <v>226</v>
      </c>
      <c r="B3" s="561">
        <f>Values!B3</f>
        <v>-845</v>
      </c>
      <c r="C3" s="561">
        <f>Values!C3</f>
        <v>469</v>
      </c>
      <c r="D3" s="561">
        <f>Values!D3</f>
        <v>675</v>
      </c>
      <c r="E3" s="561">
        <f>Values!E3</f>
        <v>228</v>
      </c>
      <c r="F3" s="561">
        <f>Values!F3</f>
        <v>321</v>
      </c>
      <c r="G3" s="561">
        <f>Values!G3</f>
        <v>382</v>
      </c>
      <c r="H3" s="561">
        <f ca="1">Values!H3</f>
        <v>424.4546967833262</v>
      </c>
      <c r="I3" s="561">
        <f ca="1">Values!I3</f>
        <v>1355.4546967833262</v>
      </c>
      <c r="J3" s="561">
        <f ca="1">Values!J3</f>
        <v>2037.8143764956922</v>
      </c>
      <c r="K3" s="561">
        <f ca="1">Values!K3</f>
        <v>2792.0736883025825</v>
      </c>
      <c r="L3" s="561">
        <f ca="1">Values!L3</f>
        <v>3689.6745970427919</v>
      </c>
      <c r="M3" s="561">
        <f ca="1">Values!M3</f>
        <v>4401.1135941032026</v>
      </c>
      <c r="N3" s="561">
        <f ca="1">Values!N3</f>
        <v>5184.1077547570112</v>
      </c>
      <c r="O3" s="561">
        <f ca="1">Values!O3</f>
        <v>5976.3811923875064</v>
      </c>
      <c r="P3" s="561">
        <f ca="1">Values!P3</f>
        <v>6748.6268595394658</v>
      </c>
      <c r="Q3" s="561">
        <f ca="1">Values!Q3</f>
        <v>7528.5204092549993</v>
      </c>
      <c r="R3" s="828">
        <f ca="1">Values!R3</f>
        <v>8333.9978824817517</v>
      </c>
      <c r="S3" s="295"/>
    </row>
    <row r="4" spans="1:19">
      <c r="A4" s="826" t="s">
        <v>40</v>
      </c>
      <c r="B4" s="561">
        <f>B3-B5</f>
        <v>1506</v>
      </c>
      <c r="C4" s="561">
        <f t="shared" ref="C4:G4" si="0">C3-C5</f>
        <v>1706</v>
      </c>
      <c r="D4" s="561">
        <f t="shared" si="0"/>
        <v>2457</v>
      </c>
      <c r="E4" s="561">
        <f t="shared" si="0"/>
        <v>788</v>
      </c>
      <c r="F4" s="561">
        <f t="shared" si="0"/>
        <v>844</v>
      </c>
      <c r="G4" s="561">
        <f t="shared" si="0"/>
        <v>858</v>
      </c>
      <c r="H4" s="561">
        <f t="shared" ref="H4:R4" ca="1" si="1">H3-H5</f>
        <v>883.20225131634095</v>
      </c>
      <c r="I4" s="561">
        <f t="shared" ca="1" si="1"/>
        <v>3381.2832513163407</v>
      </c>
      <c r="J4" s="561">
        <f t="shared" ca="1" si="1"/>
        <v>4268.0020856347837</v>
      </c>
      <c r="K4" s="561">
        <f t="shared" ca="1" si="1"/>
        <v>5224.9939632893347</v>
      </c>
      <c r="L4" s="561">
        <f t="shared" ca="1" si="1"/>
        <v>6302.1616785357264</v>
      </c>
      <c r="M4" s="561">
        <f t="shared" ca="1" si="1"/>
        <v>7112.0101484289644</v>
      </c>
      <c r="N4" s="561">
        <f t="shared" ca="1" si="1"/>
        <v>7936.1614204808502</v>
      </c>
      <c r="O4" s="561">
        <f t="shared" ca="1" si="1"/>
        <v>8708.0580877484153</v>
      </c>
      <c r="P4" s="561">
        <f t="shared" ca="1" si="1"/>
        <v>9399.4448124867668</v>
      </c>
      <c r="Q4" s="561">
        <f t="shared" ca="1" si="1"/>
        <v>10059.23822736382</v>
      </c>
      <c r="R4" s="828">
        <f t="shared" ca="1" si="1"/>
        <v>10708.265057964709</v>
      </c>
      <c r="S4" s="295"/>
    </row>
    <row r="5" spans="1:19">
      <c r="A5" s="826" t="s">
        <v>227</v>
      </c>
      <c r="B5" s="562">
        <f>-'Incentives Breakdown'!C10</f>
        <v>-2351</v>
      </c>
      <c r="C5" s="562">
        <f>-'Incentives Breakdown'!D10</f>
        <v>-1237</v>
      </c>
      <c r="D5" s="562">
        <f>-'Incentives Breakdown'!E10</f>
        <v>-1782</v>
      </c>
      <c r="E5" s="562">
        <f>-'Incentives Breakdown'!F10</f>
        <v>-560</v>
      </c>
      <c r="F5" s="562">
        <f>-'Incentives Breakdown'!G10</f>
        <v>-523</v>
      </c>
      <c r="G5" s="562">
        <f>-'Incentives Breakdown'!H10</f>
        <v>-476</v>
      </c>
      <c r="H5" s="562">
        <f ca="1">-'Incentives Breakdown'!I10</f>
        <v>-458.74755453301475</v>
      </c>
      <c r="I5" s="562">
        <f ca="1">-(Rates!I44+Rates!I57)</f>
        <v>-2025.8285545330145</v>
      </c>
      <c r="J5" s="562">
        <f ca="1">-(Rates!J44+Rates!J57)</f>
        <v>-2230.187709139092</v>
      </c>
      <c r="K5" s="562">
        <f ca="1">-(Rates!K44+Rates!K57)</f>
        <v>-2432.9202749867527</v>
      </c>
      <c r="L5" s="562">
        <f ca="1">-(Rates!L44+Rates!L57)</f>
        <v>-2612.4870814929345</v>
      </c>
      <c r="M5" s="562">
        <f ca="1">-(Rates!M44+Rates!M57)</f>
        <v>-2710.8965543257623</v>
      </c>
      <c r="N5" s="562">
        <f ca="1">-(Rates!N44+Rates!N57)</f>
        <v>-2752.053665723839</v>
      </c>
      <c r="O5" s="562">
        <f ca="1">-(Rates!O44+Rates!O57)</f>
        <v>-2731.6768953609089</v>
      </c>
      <c r="P5" s="562">
        <f ca="1">-(Rates!P44+Rates!P57)</f>
        <v>-2650.8179529473</v>
      </c>
      <c r="Q5" s="562">
        <f ca="1">-(Rates!Q44+Rates!Q57)</f>
        <v>-2530.7178181088202</v>
      </c>
      <c r="R5" s="829">
        <f ca="1">-(Rates!R44+Rates!R57)</f>
        <v>-2374.2671754829571</v>
      </c>
      <c r="S5" s="295"/>
    </row>
    <row r="6" spans="1:19">
      <c r="A6" s="826" t="s">
        <v>45</v>
      </c>
      <c r="B6" s="561">
        <f>Values!B9</f>
        <v>-673</v>
      </c>
      <c r="C6" s="561">
        <f>Values!C9</f>
        <v>-576</v>
      </c>
      <c r="D6" s="561">
        <f>Values!D9</f>
        <v>-725</v>
      </c>
      <c r="E6" s="561">
        <f>Values!E9</f>
        <v>-276</v>
      </c>
      <c r="F6" s="561">
        <f>Values!F9</f>
        <v>-300</v>
      </c>
      <c r="G6" s="561">
        <f>Values!G9</f>
        <v>-283</v>
      </c>
      <c r="H6" s="562">
        <f ca="1">-(H7*H4)</f>
        <v>-294.6301884690094</v>
      </c>
      <c r="I6" s="562">
        <f ca="1">-(I7*I4)-Values!I22-Values!I23</f>
        <v>-1005.9857388436455</v>
      </c>
      <c r="J6" s="562">
        <f ca="1">-(J7*J4)-Values!J22-Values!J23</f>
        <v>-1317.641485317653</v>
      </c>
      <c r="K6" s="562">
        <f ca="1">-(K7*K4)-Values!K22-Values!K23</f>
        <v>-1602.7900802248778</v>
      </c>
      <c r="L6" s="562">
        <f ca="1">-(L7*L4)-Values!L22-Values!L23</f>
        <v>-1911.2731700815646</v>
      </c>
      <c r="M6" s="562">
        <f ca="1">-(M7*M4)-Values!M22-Values!M23</f>
        <v>-2108.1725659051826</v>
      </c>
      <c r="N6" s="562">
        <f ca="1">-(N7*N4)-Values!N22-Values!N23</f>
        <v>-2284.5631882190778</v>
      </c>
      <c r="O6" s="562">
        <f ca="1">-(O7*O4)-Values!O22-Values!O23</f>
        <v>-2415.1686316562959</v>
      </c>
      <c r="P6" s="562">
        <f ca="1">-(P7*P4)-Values!P22-Values!P23</f>
        <v>-2491.9827730646125</v>
      </c>
      <c r="Q6" s="562">
        <f ca="1">-(Q7*Q4)-Values!Q22-Values!Q23</f>
        <v>-2529.8509457565697</v>
      </c>
      <c r="R6" s="829">
        <f ca="1">-(R7*R4)-Values!R22-Values!R23</f>
        <v>-2533.6286438620477</v>
      </c>
      <c r="S6" s="295"/>
    </row>
    <row r="7" spans="1:19">
      <c r="A7" s="826" t="s">
        <v>228</v>
      </c>
      <c r="B7" s="563">
        <f>-B6/B4</f>
        <v>0.44687915006640105</v>
      </c>
      <c r="C7" s="563">
        <f>-C6/C4</f>
        <v>0.3376318874560375</v>
      </c>
      <c r="D7" s="563">
        <f t="shared" ref="D7:G7" si="2">-D6/D4</f>
        <v>0.29507529507529506</v>
      </c>
      <c r="E7" s="563">
        <f t="shared" si="2"/>
        <v>0.35025380710659898</v>
      </c>
      <c r="F7" s="563">
        <f t="shared" si="2"/>
        <v>0.35545023696682465</v>
      </c>
      <c r="G7" s="563">
        <f t="shared" si="2"/>
        <v>0.32983682983682983</v>
      </c>
      <c r="H7" s="564">
        <f>AVERAGE(D7:F7)</f>
        <v>0.3335931130495729</v>
      </c>
      <c r="I7" s="564">
        <f>AVERAGE(E7:H7)</f>
        <v>0.34228349673995662</v>
      </c>
      <c r="J7" s="564">
        <f t="shared" ref="J7:R7" si="3">(1-F13)*I7</f>
        <v>0.34228349673995662</v>
      </c>
      <c r="K7" s="564">
        <f t="shared" si="3"/>
        <v>0.34057207925625682</v>
      </c>
      <c r="L7" s="564">
        <f t="shared" si="3"/>
        <v>0.33716635846369425</v>
      </c>
      <c r="M7" s="564">
        <f t="shared" si="3"/>
        <v>0.33210886308673881</v>
      </c>
      <c r="N7" s="564">
        <f t="shared" si="3"/>
        <v>0.32546668582500404</v>
      </c>
      <c r="O7" s="564">
        <f t="shared" si="3"/>
        <v>0.31733001867937893</v>
      </c>
      <c r="P7" s="564">
        <f t="shared" si="3"/>
        <v>0.30781011811899756</v>
      </c>
      <c r="Q7" s="564">
        <f t="shared" si="3"/>
        <v>0.29703676398483264</v>
      </c>
      <c r="R7" s="830">
        <f t="shared" si="3"/>
        <v>0.28515529342543933</v>
      </c>
      <c r="S7" s="295"/>
    </row>
    <row r="8" spans="1:19">
      <c r="A8" s="826" t="s">
        <v>229</v>
      </c>
      <c r="B8" s="565"/>
      <c r="C8" s="565"/>
      <c r="D8" s="565"/>
      <c r="E8" s="566"/>
      <c r="F8" s="566"/>
      <c r="G8" s="566"/>
      <c r="H8" s="567">
        <f ca="1">(H4+H6)/H4</f>
        <v>0.66640688695042716</v>
      </c>
      <c r="I8" s="567">
        <f t="shared" ref="I8:R8" ca="1" si="4">(I4+I6)/I4</f>
        <v>0.70248403813788363</v>
      </c>
      <c r="J8" s="567">
        <f ca="1">(J4+J6)/J4</f>
        <v>0.6912744045387037</v>
      </c>
      <c r="K8" s="567">
        <f t="shared" ca="1" si="4"/>
        <v>0.69324556325116593</v>
      </c>
      <c r="L8" s="563">
        <f t="shared" ca="1" si="4"/>
        <v>0.6967273663271617</v>
      </c>
      <c r="M8" s="567">
        <f t="shared" ca="1" si="4"/>
        <v>0.70357570898983102</v>
      </c>
      <c r="N8" s="563">
        <f t="shared" ca="1" si="4"/>
        <v>0.71213246969456723</v>
      </c>
      <c r="O8" s="567">
        <f t="shared" ca="1" si="4"/>
        <v>0.72265129523489779</v>
      </c>
      <c r="P8" s="567">
        <f t="shared" ca="1" si="4"/>
        <v>0.73487979101126077</v>
      </c>
      <c r="Q8" s="567">
        <f t="shared" ca="1" si="4"/>
        <v>0.74850471888868297</v>
      </c>
      <c r="R8" s="831">
        <f t="shared" ca="1" si="4"/>
        <v>0.76339503830477573</v>
      </c>
      <c r="S8" s="295"/>
    </row>
    <row r="9" spans="1:19">
      <c r="A9" s="313"/>
      <c r="B9" s="295"/>
      <c r="C9" s="295"/>
      <c r="D9" s="295"/>
      <c r="E9" s="295"/>
      <c r="F9" s="295"/>
      <c r="G9" s="295"/>
      <c r="H9" s="295"/>
      <c r="I9" s="295"/>
      <c r="J9" s="295"/>
      <c r="K9" s="295"/>
      <c r="L9" s="295"/>
      <c r="M9" s="295"/>
      <c r="N9" s="295"/>
      <c r="O9" s="295"/>
      <c r="P9" s="295"/>
      <c r="Q9" s="295"/>
      <c r="R9" s="314"/>
      <c r="S9" s="295"/>
    </row>
    <row r="10" spans="1:19">
      <c r="A10" s="313"/>
      <c r="B10" s="295"/>
      <c r="C10" s="295"/>
      <c r="D10" s="295"/>
      <c r="E10" s="295"/>
      <c r="F10" s="295"/>
      <c r="G10" s="295"/>
      <c r="H10" s="295"/>
      <c r="I10" s="295"/>
      <c r="J10" s="295"/>
      <c r="K10" s="295"/>
      <c r="L10" s="295"/>
      <c r="M10" s="295"/>
      <c r="N10" s="295"/>
      <c r="O10" s="295"/>
      <c r="P10" s="295"/>
      <c r="Q10" s="295"/>
      <c r="R10" s="314"/>
      <c r="S10" s="295"/>
    </row>
    <row r="11" spans="1:19">
      <c r="A11" s="313"/>
      <c r="B11" s="295"/>
      <c r="C11" s="405" t="s">
        <v>210</v>
      </c>
      <c r="D11" s="405" t="s">
        <v>211</v>
      </c>
      <c r="E11" s="405" t="s">
        <v>216</v>
      </c>
      <c r="F11" s="404" t="s">
        <v>217</v>
      </c>
      <c r="G11" s="404" t="s">
        <v>218</v>
      </c>
      <c r="H11" s="404" t="s">
        <v>219</v>
      </c>
      <c r="I11" s="404" t="s">
        <v>220</v>
      </c>
      <c r="J11" s="404" t="s">
        <v>221</v>
      </c>
      <c r="K11" s="404" t="s">
        <v>222</v>
      </c>
      <c r="L11" s="404" t="s">
        <v>223</v>
      </c>
      <c r="M11" s="404" t="s">
        <v>224</v>
      </c>
      <c r="N11" s="404" t="s">
        <v>225</v>
      </c>
      <c r="O11" s="295"/>
      <c r="P11" s="295"/>
      <c r="Q11" s="295"/>
      <c r="R11" s="314"/>
      <c r="S11" s="295"/>
    </row>
    <row r="12" spans="1:19">
      <c r="A12" s="819" t="s">
        <v>230</v>
      </c>
      <c r="B12" s="256"/>
      <c r="C12" s="401">
        <f>-(C7/B7-1)</f>
        <v>0.24446712851591013</v>
      </c>
      <c r="D12" s="401">
        <f>-(D7/C7-1)</f>
        <v>0.12604435173879625</v>
      </c>
      <c r="E12" s="401">
        <f>-(I7/D7-1)</f>
        <v>-0.15998696757251518</v>
      </c>
      <c r="F12" s="866" t="s">
        <v>231</v>
      </c>
      <c r="G12" s="866"/>
      <c r="H12" s="866"/>
      <c r="I12" s="866"/>
      <c r="J12" s="866"/>
      <c r="K12" s="866"/>
      <c r="L12" s="866"/>
      <c r="M12" s="866"/>
      <c r="N12" s="866"/>
      <c r="O12" s="295"/>
      <c r="P12" s="295"/>
      <c r="Q12" s="295"/>
      <c r="R12" s="314"/>
      <c r="S12" s="295"/>
    </row>
    <row r="13" spans="1:19" ht="15.75" thickBot="1">
      <c r="A13" s="863" t="s">
        <v>232</v>
      </c>
      <c r="B13" s="864"/>
      <c r="C13" s="864"/>
      <c r="D13" s="865"/>
      <c r="E13" s="820">
        <f>AVERAGE(C12:E12)</f>
        <v>7.0174837560730396E-2</v>
      </c>
      <c r="F13" s="780">
        <v>0</v>
      </c>
      <c r="G13" s="780">
        <f>F13+0.5%</f>
        <v>5.0000000000000001E-3</v>
      </c>
      <c r="H13" s="780">
        <f t="shared" ref="H13:N13" si="5">G13+0.5%</f>
        <v>0.01</v>
      </c>
      <c r="I13" s="780">
        <f t="shared" si="5"/>
        <v>1.4999999999999999E-2</v>
      </c>
      <c r="J13" s="780">
        <f t="shared" si="5"/>
        <v>0.02</v>
      </c>
      <c r="K13" s="780">
        <f t="shared" si="5"/>
        <v>2.5000000000000001E-2</v>
      </c>
      <c r="L13" s="780">
        <f t="shared" si="5"/>
        <v>3.0000000000000002E-2</v>
      </c>
      <c r="M13" s="780">
        <f t="shared" si="5"/>
        <v>3.5000000000000003E-2</v>
      </c>
      <c r="N13" s="780">
        <f t="shared" si="5"/>
        <v>0.04</v>
      </c>
      <c r="O13" s="373"/>
      <c r="P13" s="373"/>
      <c r="Q13" s="373"/>
      <c r="R13" s="375"/>
      <c r="S13" s="295"/>
    </row>
    <row r="14" spans="1:19" ht="7.15" customHeight="1">
      <c r="A14" s="457"/>
      <c r="B14" s="457"/>
      <c r="C14" s="457"/>
      <c r="D14" s="457"/>
      <c r="E14" s="458"/>
      <c r="F14" s="456"/>
      <c r="G14" s="456"/>
      <c r="H14" s="456"/>
      <c r="I14" s="456"/>
      <c r="J14" s="456"/>
      <c r="K14" s="456"/>
      <c r="L14" s="456"/>
      <c r="M14" s="456"/>
      <c r="N14" s="456"/>
      <c r="O14" s="295"/>
      <c r="P14" s="295"/>
      <c r="Q14" s="295"/>
      <c r="R14" s="295"/>
      <c r="S14" s="295"/>
    </row>
    <row r="15" spans="1:19" ht="7.15" customHeight="1">
      <c r="A15" s="457"/>
      <c r="B15" s="457"/>
      <c r="C15" s="457"/>
      <c r="D15" s="457"/>
      <c r="E15" s="458"/>
      <c r="F15" s="456"/>
      <c r="G15" s="456"/>
      <c r="H15" s="456"/>
      <c r="I15" s="456"/>
      <c r="J15" s="456"/>
      <c r="K15" s="456"/>
      <c r="L15" s="456"/>
      <c r="M15" s="456"/>
      <c r="N15" s="456"/>
      <c r="O15" s="295"/>
      <c r="P15" s="295"/>
      <c r="Q15" s="295"/>
      <c r="R15" s="295"/>
      <c r="S15" s="295"/>
    </row>
    <row r="16" spans="1:19" ht="7.15" customHeight="1">
      <c r="A16" s="457"/>
      <c r="B16" s="457"/>
      <c r="C16" s="457"/>
      <c r="D16" s="457"/>
      <c r="E16" s="458"/>
      <c r="F16" s="456"/>
      <c r="G16" s="456"/>
      <c r="H16" s="456"/>
      <c r="I16" s="456"/>
      <c r="J16" s="456"/>
      <c r="K16" s="456"/>
      <c r="L16" s="456"/>
      <c r="M16" s="456"/>
      <c r="N16" s="456"/>
      <c r="O16" s="295"/>
      <c r="P16" s="295"/>
      <c r="Q16" s="295"/>
      <c r="R16" s="295"/>
      <c r="S16" s="295"/>
    </row>
    <row r="17" spans="1:27" ht="7.15" customHeight="1">
      <c r="A17" s="457"/>
      <c r="B17" s="457"/>
      <c r="C17" s="457"/>
      <c r="D17" s="457"/>
      <c r="E17" s="458"/>
      <c r="F17" s="456"/>
      <c r="G17" s="456"/>
      <c r="H17" s="456"/>
      <c r="I17" s="456"/>
      <c r="J17" s="456"/>
      <c r="K17" s="456"/>
      <c r="L17" s="456"/>
      <c r="M17" s="456"/>
      <c r="N17" s="456"/>
      <c r="O17" s="295"/>
      <c r="P17" s="295"/>
      <c r="Q17" s="295"/>
      <c r="R17" s="295"/>
      <c r="S17" s="295"/>
    </row>
    <row r="18" spans="1:27" ht="7.15" customHeight="1">
      <c r="A18" s="457"/>
      <c r="B18" s="457"/>
      <c r="C18" s="457"/>
      <c r="D18" s="457"/>
      <c r="E18" s="458"/>
      <c r="F18" s="456"/>
      <c r="G18" s="456"/>
      <c r="H18" s="456"/>
      <c r="I18" s="456"/>
      <c r="J18" s="456"/>
      <c r="K18" s="456"/>
      <c r="L18" s="456"/>
      <c r="M18" s="456"/>
      <c r="N18" s="456"/>
      <c r="O18" s="295"/>
      <c r="P18" s="295"/>
      <c r="Q18" s="295"/>
      <c r="R18" s="295"/>
      <c r="S18" s="295"/>
    </row>
    <row r="19" spans="1:27" ht="7.15" customHeight="1">
      <c r="A19" s="457"/>
      <c r="B19" s="457"/>
      <c r="C19" s="457"/>
      <c r="D19" s="457"/>
      <c r="E19" s="458"/>
      <c r="F19" s="456"/>
      <c r="G19" s="456"/>
      <c r="H19" s="456"/>
      <c r="I19" s="456"/>
      <c r="J19" s="456"/>
      <c r="K19" s="456"/>
      <c r="L19" s="456"/>
      <c r="M19" s="456"/>
      <c r="N19" s="456"/>
      <c r="O19" s="295"/>
      <c r="P19" s="295"/>
      <c r="Q19" s="295"/>
      <c r="R19" s="295"/>
      <c r="S19" s="295"/>
    </row>
    <row r="20" spans="1:27" ht="7.15" customHeight="1" thickBot="1">
      <c r="A20" s="295"/>
      <c r="B20" s="295"/>
      <c r="C20" s="295"/>
      <c r="D20" s="295"/>
      <c r="E20" s="295"/>
      <c r="F20" s="295"/>
      <c r="G20" s="295"/>
      <c r="H20" s="295"/>
      <c r="I20" s="295"/>
      <c r="J20" s="295"/>
      <c r="K20" s="295"/>
      <c r="L20" s="295"/>
      <c r="M20" s="295"/>
      <c r="N20" s="295"/>
      <c r="O20" s="295"/>
      <c r="P20" s="295"/>
      <c r="Q20" s="295"/>
      <c r="R20" s="295"/>
      <c r="S20" s="295"/>
      <c r="U20" s="295"/>
      <c r="V20" s="295"/>
      <c r="W20" s="295"/>
      <c r="X20" s="295"/>
      <c r="Y20" s="295"/>
      <c r="Z20" s="295"/>
      <c r="AA20" s="295"/>
    </row>
    <row r="21" spans="1:27" ht="15.75" hidden="1" thickBot="1">
      <c r="A21" s="295"/>
      <c r="B21" s="295"/>
      <c r="C21" s="456"/>
      <c r="D21" s="295"/>
      <c r="E21" s="295"/>
      <c r="F21" s="295"/>
      <c r="G21" s="295"/>
      <c r="H21" s="295"/>
      <c r="I21" s="295"/>
      <c r="J21" s="295"/>
      <c r="K21" s="295"/>
      <c r="L21" s="295"/>
      <c r="M21" s="295"/>
      <c r="N21" s="295"/>
      <c r="O21" s="295"/>
      <c r="P21" s="295"/>
      <c r="Q21" s="295"/>
      <c r="R21" s="295"/>
      <c r="S21" s="295"/>
      <c r="U21" s="295"/>
      <c r="V21" s="295"/>
      <c r="W21" s="295"/>
      <c r="X21" s="295"/>
      <c r="Y21" s="295"/>
      <c r="Z21" s="295"/>
      <c r="AA21" s="295"/>
    </row>
    <row r="22" spans="1:27" ht="15.75" thickBot="1">
      <c r="A22" s="868" t="s">
        <v>233</v>
      </c>
      <c r="B22" s="871"/>
      <c r="C22" s="871"/>
      <c r="D22" s="871"/>
      <c r="E22" s="869"/>
      <c r="F22" s="869"/>
      <c r="G22" s="869"/>
      <c r="H22" s="869"/>
      <c r="I22" s="869"/>
      <c r="J22" s="869"/>
      <c r="K22" s="869"/>
      <c r="L22" s="869"/>
      <c r="M22" s="869"/>
      <c r="N22" s="869"/>
      <c r="O22" s="869"/>
      <c r="P22" s="869"/>
      <c r="Q22" s="869"/>
      <c r="R22" s="870"/>
      <c r="S22" s="295"/>
      <c r="U22" s="295"/>
      <c r="V22" s="872" t="s">
        <v>234</v>
      </c>
      <c r="W22" s="873"/>
      <c r="X22" s="873"/>
      <c r="Y22" s="873"/>
      <c r="Z22" s="874"/>
      <c r="AA22" s="295"/>
    </row>
    <row r="23" spans="1:27" ht="60">
      <c r="A23" s="460"/>
      <c r="B23" s="207" t="s">
        <v>209</v>
      </c>
      <c r="C23" s="207" t="s">
        <v>210</v>
      </c>
      <c r="D23" s="207" t="s">
        <v>211</v>
      </c>
      <c r="E23" s="403" t="s">
        <v>212</v>
      </c>
      <c r="F23" s="403" t="s">
        <v>213</v>
      </c>
      <c r="G23" s="403" t="s">
        <v>214</v>
      </c>
      <c r="H23" s="404" t="s">
        <v>215</v>
      </c>
      <c r="I23" s="404" t="s">
        <v>216</v>
      </c>
      <c r="J23" s="404" t="s">
        <v>217</v>
      </c>
      <c r="K23" s="404" t="s">
        <v>218</v>
      </c>
      <c r="L23" s="404" t="s">
        <v>219</v>
      </c>
      <c r="M23" s="404" t="s">
        <v>220</v>
      </c>
      <c r="N23" s="404" t="s">
        <v>221</v>
      </c>
      <c r="O23" s="404" t="s">
        <v>222</v>
      </c>
      <c r="P23" s="404" t="s">
        <v>223</v>
      </c>
      <c r="Q23" s="404" t="s">
        <v>224</v>
      </c>
      <c r="R23" s="461" t="s">
        <v>225</v>
      </c>
      <c r="S23" s="295"/>
      <c r="U23" s="295"/>
      <c r="V23" s="629" t="s">
        <v>235</v>
      </c>
      <c r="W23" s="630" t="s">
        <v>236</v>
      </c>
      <c r="X23" s="631" t="s">
        <v>237</v>
      </c>
      <c r="Y23" s="630" t="s">
        <v>238</v>
      </c>
      <c r="Z23" s="632" t="s">
        <v>239</v>
      </c>
      <c r="AA23" s="295"/>
    </row>
    <row r="24" spans="1:27">
      <c r="A24" s="460" t="s">
        <v>226</v>
      </c>
      <c r="B24" s="212">
        <f>Values!B3</f>
        <v>-845</v>
      </c>
      <c r="C24" s="212">
        <f>Values!C3</f>
        <v>469</v>
      </c>
      <c r="D24" s="212">
        <f>Values!D3</f>
        <v>675</v>
      </c>
      <c r="E24" s="212">
        <f>Values!E3</f>
        <v>228</v>
      </c>
      <c r="F24" s="212">
        <f>Values!F3</f>
        <v>321</v>
      </c>
      <c r="G24" s="212">
        <f>Values!G3</f>
        <v>382</v>
      </c>
      <c r="H24" s="212">
        <f ca="1">Values!H3</f>
        <v>424.4546967833262</v>
      </c>
      <c r="I24" s="212">
        <f ca="1">Values!I3</f>
        <v>1355.4546967833262</v>
      </c>
      <c r="J24" s="212">
        <f ca="1">Values!J3</f>
        <v>2037.8143764956922</v>
      </c>
      <c r="K24" s="212">
        <f ca="1">Values!K3</f>
        <v>2792.0736883025825</v>
      </c>
      <c r="L24" s="212">
        <f ca="1">Values!L3</f>
        <v>3689.6745970427919</v>
      </c>
      <c r="M24" s="212">
        <f ca="1">Values!M3</f>
        <v>4401.1135941032026</v>
      </c>
      <c r="N24" s="212">
        <f ca="1">Values!N3</f>
        <v>5184.1077547570112</v>
      </c>
      <c r="O24" s="212">
        <f ca="1">Values!O3</f>
        <v>5976.3811923875064</v>
      </c>
      <c r="P24" s="212">
        <f ca="1">Values!P3</f>
        <v>6748.6268595394658</v>
      </c>
      <c r="Q24" s="212">
        <f ca="1">Values!Q3</f>
        <v>7528.5204092549993</v>
      </c>
      <c r="R24" s="463">
        <f ca="1">Values!R3</f>
        <v>8333.9978824817517</v>
      </c>
      <c r="S24" s="295"/>
      <c r="U24" s="295"/>
      <c r="V24" s="633" t="s">
        <v>240</v>
      </c>
      <c r="W24" s="634">
        <f>2419332.2*1000000</f>
        <v>2419332200000</v>
      </c>
      <c r="X24" s="635">
        <f>W24/$W$27</f>
        <v>0.43842211962286087</v>
      </c>
      <c r="Y24" s="636">
        <f>25094000/394328000</f>
        <v>6.3637378020328261E-2</v>
      </c>
      <c r="Z24" s="637">
        <f>26251000/394328000</f>
        <v>6.657148363798665E-2</v>
      </c>
      <c r="AA24" s="295"/>
    </row>
    <row r="25" spans="1:27">
      <c r="A25" s="460" t="s">
        <v>40</v>
      </c>
      <c r="B25" s="212">
        <f t="shared" ref="B25:R25" si="6">B4</f>
        <v>1506</v>
      </c>
      <c r="C25" s="212">
        <f t="shared" si="6"/>
        <v>1706</v>
      </c>
      <c r="D25" s="212">
        <f t="shared" si="6"/>
        <v>2457</v>
      </c>
      <c r="E25" s="212">
        <f t="shared" si="6"/>
        <v>788</v>
      </c>
      <c r="F25" s="212">
        <f t="shared" si="6"/>
        <v>844</v>
      </c>
      <c r="G25" s="212">
        <f t="shared" si="6"/>
        <v>858</v>
      </c>
      <c r="H25" s="212">
        <f t="shared" ca="1" si="6"/>
        <v>883.20225131634095</v>
      </c>
      <c r="I25" s="212">
        <f t="shared" ca="1" si="6"/>
        <v>3381.2832513163407</v>
      </c>
      <c r="J25" s="212">
        <f t="shared" ca="1" si="6"/>
        <v>4268.0020856347837</v>
      </c>
      <c r="K25" s="212">
        <f t="shared" ca="1" si="6"/>
        <v>5224.9939632893347</v>
      </c>
      <c r="L25" s="212">
        <f t="shared" ca="1" si="6"/>
        <v>6302.1616785357264</v>
      </c>
      <c r="M25" s="212">
        <f t="shared" ca="1" si="6"/>
        <v>7112.0101484289644</v>
      </c>
      <c r="N25" s="212">
        <f t="shared" ca="1" si="6"/>
        <v>7936.1614204808502</v>
      </c>
      <c r="O25" s="212">
        <f t="shared" ca="1" si="6"/>
        <v>8708.0580877484153</v>
      </c>
      <c r="P25" s="212">
        <f t="shared" ca="1" si="6"/>
        <v>9399.4448124867668</v>
      </c>
      <c r="Q25" s="212">
        <f t="shared" ca="1" si="6"/>
        <v>10059.23822736382</v>
      </c>
      <c r="R25" s="463">
        <f t="shared" ca="1" si="6"/>
        <v>10708.265057964709</v>
      </c>
      <c r="S25" s="295"/>
      <c r="U25" s="295"/>
      <c r="V25" s="633" t="s">
        <v>241</v>
      </c>
      <c r="W25" s="634">
        <f>1881039.5*1000000</f>
        <v>1881039500000</v>
      </c>
      <c r="X25" s="635">
        <f>W25/$W$27</f>
        <v>0.34087477721510356</v>
      </c>
      <c r="Y25" s="636">
        <f>27725000/198270000</f>
        <v>0.13983456902204064</v>
      </c>
      <c r="Z25" s="637">
        <f>24512000/198270000</f>
        <v>0.12362939426035205</v>
      </c>
      <c r="AA25" s="295"/>
    </row>
    <row r="26" spans="1:27">
      <c r="A26" s="460" t="s">
        <v>242</v>
      </c>
      <c r="B26" s="211">
        <f>-Values!B14/'Forecast for Expenses'!B25</f>
        <v>0.15803452855245684</v>
      </c>
      <c r="C26" s="211">
        <f>-Values!C14/'Forecast for Expenses'!C25</f>
        <v>8.8511137162954279E-2</v>
      </c>
      <c r="D26" s="211">
        <f>-Values!D14/'Forecast for Expenses'!D25</f>
        <v>9.808709808709809E-2</v>
      </c>
      <c r="E26" s="211">
        <f>-Values!E14/'Forecast for Expenses'!E25</f>
        <v>8.8832487309644673E-2</v>
      </c>
      <c r="F26" s="211">
        <f>-Values!F14/'Forecast for Expenses'!F25</f>
        <v>8.5308056872037921E-2</v>
      </c>
      <c r="G26" s="211">
        <f>-Values!G14/'Forecast for Expenses'!G25</f>
        <v>7.6923076923076927E-2</v>
      </c>
      <c r="H26" s="209">
        <f>AVERAGE(E26:G26)</f>
        <v>8.3687873701586521E-2</v>
      </c>
      <c r="I26" s="209">
        <f>AVERAGE(E26:H26)</f>
        <v>8.3687873701586521E-2</v>
      </c>
      <c r="J26" s="209">
        <f t="shared" ref="J26:R26" si="7">(1+F31)*I26</f>
        <v>7.96099558545207E-2</v>
      </c>
      <c r="K26" s="209">
        <f t="shared" si="7"/>
        <v>7.5730745576806147E-2</v>
      </c>
      <c r="L26" s="209">
        <f t="shared" si="7"/>
        <v>7.2040560305037138E-2</v>
      </c>
      <c r="M26" s="209">
        <f t="shared" si="7"/>
        <v>6.8530189284881041E-2</v>
      </c>
      <c r="N26" s="209">
        <f t="shared" si="7"/>
        <v>6.5190870580905919E-2</v>
      </c>
      <c r="O26" s="209">
        <f t="shared" si="7"/>
        <v>6.20142692066665E-2</v>
      </c>
      <c r="P26" s="209">
        <f t="shared" si="7"/>
        <v>5.8992456320460795E-2</v>
      </c>
      <c r="Q26" s="209">
        <f t="shared" si="7"/>
        <v>5.6117889434829697E-2</v>
      </c>
      <c r="R26" s="464">
        <f t="shared" si="7"/>
        <v>5.3383393590402235E-2</v>
      </c>
      <c r="S26" s="295"/>
      <c r="U26" s="295"/>
      <c r="V26" s="633" t="s">
        <v>243</v>
      </c>
      <c r="W26" s="634">
        <f>1217899.6*1000000</f>
        <v>1217899600000</v>
      </c>
      <c r="X26" s="635">
        <f>W26/$W$27</f>
        <v>0.22070310316203554</v>
      </c>
      <c r="Y26" s="636">
        <f>36422/257637</f>
        <v>0.14136944615874272</v>
      </c>
      <c r="Z26" s="637">
        <f>31562/257637</f>
        <v>0.12250569599863374</v>
      </c>
      <c r="AA26" s="295"/>
    </row>
    <row r="27" spans="1:27" ht="15.75" thickBot="1">
      <c r="A27" s="313"/>
      <c r="B27" s="295"/>
      <c r="C27" s="295"/>
      <c r="D27" s="295"/>
      <c r="E27" s="295"/>
      <c r="F27" s="295"/>
      <c r="G27" s="295"/>
      <c r="H27" s="295"/>
      <c r="I27" s="295"/>
      <c r="J27" s="295"/>
      <c r="K27" s="295"/>
      <c r="L27" s="295"/>
      <c r="M27" s="295"/>
      <c r="N27" s="295"/>
      <c r="O27" s="295"/>
      <c r="P27" s="295"/>
      <c r="Q27" s="295"/>
      <c r="R27" s="314"/>
      <c r="S27" s="295"/>
      <c r="U27" s="295"/>
      <c r="V27" s="638" t="s">
        <v>114</v>
      </c>
      <c r="W27" s="639">
        <f>SUM(W24:W26)</f>
        <v>5518271300000</v>
      </c>
      <c r="X27" s="640"/>
      <c r="Y27" s="641"/>
      <c r="Z27" s="642"/>
      <c r="AA27" s="295"/>
    </row>
    <row r="28" spans="1:27" ht="15.75" thickBot="1">
      <c r="A28" s="313"/>
      <c r="B28" s="295"/>
      <c r="C28" s="295"/>
      <c r="D28" s="295"/>
      <c r="E28" s="295"/>
      <c r="F28" s="295"/>
      <c r="G28" s="295"/>
      <c r="H28" s="295"/>
      <c r="I28" s="295"/>
      <c r="J28" s="295"/>
      <c r="K28" s="295"/>
      <c r="L28" s="295"/>
      <c r="M28" s="295"/>
      <c r="N28" s="295"/>
      <c r="O28" s="295"/>
      <c r="P28" s="295"/>
      <c r="Q28" s="295"/>
      <c r="R28" s="314"/>
      <c r="S28" s="295"/>
      <c r="U28" s="295"/>
      <c r="V28" s="875" t="s">
        <v>244</v>
      </c>
      <c r="W28" s="876"/>
      <c r="X28" s="876"/>
      <c r="Y28" s="643">
        <f t="array" ref="Y28">MMULT(TRANSPOSE(X24:X26),Y24:Y26)</f>
        <v>0.10676678718080453</v>
      </c>
      <c r="Z28" s="644">
        <f t="array" ref="Z28">MMULT(TRANSPOSE(X24:X26),Z24:Z26)</f>
        <v>9.8365940450663839E-2</v>
      </c>
      <c r="AA28" s="295"/>
    </row>
    <row r="29" spans="1:27" ht="15.75" thickBot="1">
      <c r="A29" s="832"/>
      <c r="B29" s="459"/>
      <c r="C29" s="405" t="s">
        <v>210</v>
      </c>
      <c r="D29" s="405" t="s">
        <v>211</v>
      </c>
      <c r="E29" s="405" t="s">
        <v>216</v>
      </c>
      <c r="F29" s="404" t="s">
        <v>217</v>
      </c>
      <c r="G29" s="404" t="s">
        <v>218</v>
      </c>
      <c r="H29" s="404" t="s">
        <v>219</v>
      </c>
      <c r="I29" s="404" t="s">
        <v>220</v>
      </c>
      <c r="J29" s="404" t="s">
        <v>221</v>
      </c>
      <c r="K29" s="404" t="s">
        <v>222</v>
      </c>
      <c r="L29" s="404" t="s">
        <v>223</v>
      </c>
      <c r="M29" s="404" t="s">
        <v>224</v>
      </c>
      <c r="N29" s="404" t="s">
        <v>225</v>
      </c>
      <c r="O29" s="295"/>
      <c r="P29" s="817" t="s">
        <v>245</v>
      </c>
      <c r="Q29" s="816">
        <f>((Y28/2)/I26)^(1/9) - 1</f>
        <v>-4.8727702911975368E-2</v>
      </c>
      <c r="R29" s="314"/>
      <c r="S29" s="295"/>
      <c r="U29" s="295"/>
      <c r="V29" s="295"/>
      <c r="W29" s="295"/>
      <c r="X29" s="295"/>
      <c r="Y29" s="295"/>
      <c r="Z29" s="295"/>
      <c r="AA29" s="295"/>
    </row>
    <row r="30" spans="1:27">
      <c r="A30" s="819" t="s">
        <v>246</v>
      </c>
      <c r="B30" s="256"/>
      <c r="C30" s="401">
        <f>C26/B26-1</f>
        <v>-0.43992532534702045</v>
      </c>
      <c r="D30" s="401">
        <f>D26/C26-1</f>
        <v>0.10818933335489622</v>
      </c>
      <c r="E30" s="401">
        <f>I26/D26-1</f>
        <v>-0.14680039134938561</v>
      </c>
      <c r="F30" s="866" t="s">
        <v>247</v>
      </c>
      <c r="G30" s="866"/>
      <c r="H30" s="866"/>
      <c r="I30" s="866"/>
      <c r="J30" s="866"/>
      <c r="K30" s="866"/>
      <c r="L30" s="866"/>
      <c r="M30" s="866"/>
      <c r="N30" s="867"/>
      <c r="O30" s="295"/>
      <c r="P30" s="295"/>
      <c r="Q30" s="295"/>
      <c r="R30" s="314"/>
      <c r="S30" s="295"/>
    </row>
    <row r="31" spans="1:27" ht="15.75" thickBot="1">
      <c r="A31" s="863" t="s">
        <v>248</v>
      </c>
      <c r="B31" s="864"/>
      <c r="C31" s="864"/>
      <c r="D31" s="865"/>
      <c r="E31" s="820">
        <f>AVERAGE(C30:E30)</f>
        <v>-0.15951212778050328</v>
      </c>
      <c r="F31" s="780">
        <f>$Q$29</f>
        <v>-4.8727702911975368E-2</v>
      </c>
      <c r="G31" s="780">
        <f>$Q$29</f>
        <v>-4.8727702911975368E-2</v>
      </c>
      <c r="H31" s="780">
        <f>$Q$29</f>
        <v>-4.8727702911975368E-2</v>
      </c>
      <c r="I31" s="780">
        <f>$Q$29</f>
        <v>-4.8727702911975368E-2</v>
      </c>
      <c r="J31" s="780">
        <f>$Q$29</f>
        <v>-4.8727702911975368E-2</v>
      </c>
      <c r="K31" s="821">
        <f>J31</f>
        <v>-4.8727702911975368E-2</v>
      </c>
      <c r="L31" s="821">
        <f>K31</f>
        <v>-4.8727702911975368E-2</v>
      </c>
      <c r="M31" s="821">
        <f>L31</f>
        <v>-4.8727702911975368E-2</v>
      </c>
      <c r="N31" s="821">
        <f>M31</f>
        <v>-4.8727702911975368E-2</v>
      </c>
      <c r="O31" s="373"/>
      <c r="P31" s="373"/>
      <c r="Q31" s="373"/>
      <c r="R31" s="375"/>
      <c r="S31" s="295"/>
    </row>
    <row r="32" spans="1:27" ht="3" customHeight="1">
      <c r="A32" s="457"/>
      <c r="B32" s="457"/>
      <c r="C32" s="457"/>
      <c r="D32" s="457"/>
      <c r="E32" s="458"/>
      <c r="F32" s="456"/>
      <c r="G32" s="456"/>
      <c r="H32" s="456"/>
      <c r="I32" s="456"/>
      <c r="J32" s="456"/>
      <c r="K32" s="456"/>
      <c r="L32" s="456"/>
      <c r="M32" s="456"/>
      <c r="N32" s="456"/>
      <c r="O32" s="295"/>
      <c r="P32" s="295"/>
      <c r="Q32" s="295"/>
      <c r="R32" s="295"/>
      <c r="S32" s="295"/>
      <c r="Y32" s="280">
        <f>Y28/2</f>
        <v>5.3383393590402263E-2</v>
      </c>
    </row>
    <row r="33" spans="1:25" ht="3" customHeight="1">
      <c r="A33" s="295"/>
      <c r="B33" s="295"/>
      <c r="C33" s="295"/>
      <c r="D33" s="295"/>
      <c r="E33" s="295"/>
      <c r="F33" s="295"/>
      <c r="G33" s="295"/>
      <c r="H33" s="295"/>
      <c r="I33" s="295"/>
      <c r="J33" s="295"/>
      <c r="K33" s="456"/>
      <c r="L33" s="456"/>
      <c r="M33" s="456"/>
      <c r="N33" s="456"/>
      <c r="O33" s="295"/>
      <c r="P33" s="295"/>
      <c r="Q33" s="295"/>
      <c r="R33" s="295"/>
      <c r="S33" s="295"/>
    </row>
    <row r="34" spans="1:25" ht="3" customHeight="1">
      <c r="A34" s="295"/>
      <c r="B34" s="825"/>
      <c r="C34" s="824"/>
      <c r="D34" s="295"/>
      <c r="E34" s="295"/>
      <c r="F34" s="295"/>
      <c r="G34" s="295"/>
      <c r="H34" s="295"/>
      <c r="I34" s="295"/>
      <c r="J34" s="295"/>
      <c r="K34" s="833">
        <f>Y28/2</f>
        <v>5.3383393590402263E-2</v>
      </c>
      <c r="L34" s="456"/>
      <c r="M34" s="456"/>
      <c r="N34" s="456"/>
      <c r="O34" s="295"/>
      <c r="P34" s="295"/>
      <c r="Q34" s="295"/>
      <c r="R34" s="295"/>
      <c r="S34" s="295"/>
      <c r="Y34" s="280">
        <f>Y32*2</f>
        <v>0.10676678718080453</v>
      </c>
    </row>
    <row r="35" spans="1:25" ht="3" customHeight="1">
      <c r="A35" s="295"/>
      <c r="B35" s="814"/>
      <c r="C35" s="456"/>
      <c r="D35" s="295"/>
      <c r="E35" s="295"/>
      <c r="F35" s="295"/>
      <c r="G35" s="295"/>
      <c r="H35" s="295"/>
      <c r="I35" s="295"/>
      <c r="J35" s="295"/>
      <c r="K35" s="456"/>
      <c r="L35" s="456"/>
      <c r="M35" s="456"/>
      <c r="N35" s="456"/>
      <c r="O35" s="295"/>
      <c r="P35" s="295"/>
      <c r="Q35" s="295"/>
      <c r="R35" s="295"/>
      <c r="S35" s="295"/>
    </row>
    <row r="36" spans="1:25" ht="3" customHeight="1">
      <c r="A36" s="295"/>
      <c r="B36" s="456"/>
      <c r="C36" s="456"/>
      <c r="D36" s="295"/>
      <c r="E36" s="295"/>
      <c r="F36" s="295"/>
      <c r="G36" s="295"/>
      <c r="H36" s="295"/>
      <c r="I36" s="295"/>
      <c r="J36" s="295"/>
      <c r="K36" s="456"/>
      <c r="L36" s="456"/>
      <c r="M36" s="456"/>
      <c r="N36" s="456"/>
      <c r="O36" s="295"/>
      <c r="P36" s="295"/>
      <c r="Q36" s="295"/>
      <c r="R36" s="295"/>
      <c r="S36" s="295"/>
    </row>
    <row r="37" spans="1:25" ht="3" customHeight="1">
      <c r="A37" s="295"/>
      <c r="B37" s="456"/>
      <c r="C37" s="295"/>
      <c r="D37" s="295"/>
      <c r="E37" s="295"/>
      <c r="F37" s="295"/>
      <c r="G37" s="295"/>
      <c r="H37" s="295"/>
      <c r="I37" s="295"/>
      <c r="J37" s="295"/>
      <c r="K37" s="456"/>
      <c r="L37" s="456"/>
      <c r="M37" s="456"/>
      <c r="N37" s="456"/>
      <c r="O37" s="295"/>
      <c r="P37" s="295"/>
      <c r="Q37" s="295"/>
      <c r="R37" s="295"/>
      <c r="S37" s="295"/>
    </row>
    <row r="38" spans="1:25" ht="3" customHeight="1">
      <c r="A38" s="295"/>
      <c r="B38" s="295"/>
      <c r="C38" s="824"/>
      <c r="D38" s="824"/>
      <c r="E38" s="824"/>
      <c r="F38" s="824"/>
      <c r="G38" s="824"/>
      <c r="H38" s="824"/>
      <c r="I38" s="824"/>
      <c r="J38" s="824"/>
      <c r="K38" s="824"/>
      <c r="L38" s="295"/>
      <c r="M38" s="295"/>
      <c r="N38" s="295"/>
      <c r="O38" s="295"/>
      <c r="P38" s="295"/>
      <c r="Q38" s="295"/>
      <c r="R38" s="295"/>
      <c r="S38" s="295"/>
    </row>
    <row r="39" spans="1:25" ht="15.75" thickBot="1">
      <c r="A39" s="295"/>
      <c r="B39" s="295"/>
      <c r="C39" s="295"/>
      <c r="D39" s="295"/>
      <c r="E39" s="295"/>
      <c r="F39" s="295"/>
      <c r="G39" s="295"/>
      <c r="H39" s="295"/>
      <c r="I39" s="295"/>
      <c r="J39" s="295"/>
      <c r="K39" s="295"/>
      <c r="L39" s="295"/>
      <c r="M39" s="295"/>
      <c r="N39" s="295"/>
      <c r="O39" s="295"/>
      <c r="P39" s="295"/>
      <c r="Q39" s="295"/>
      <c r="R39" s="295"/>
      <c r="S39" s="295"/>
    </row>
    <row r="40" spans="1:25">
      <c r="A40" s="868" t="s">
        <v>249</v>
      </c>
      <c r="B40" s="869"/>
      <c r="C40" s="869"/>
      <c r="D40" s="869"/>
      <c r="E40" s="869"/>
      <c r="F40" s="869"/>
      <c r="G40" s="869"/>
      <c r="H40" s="869"/>
      <c r="I40" s="869"/>
      <c r="J40" s="869"/>
      <c r="K40" s="869"/>
      <c r="L40" s="869"/>
      <c r="M40" s="869"/>
      <c r="N40" s="869"/>
      <c r="O40" s="869"/>
      <c r="P40" s="869"/>
      <c r="Q40" s="869"/>
      <c r="R40" s="870"/>
      <c r="S40" s="295"/>
    </row>
    <row r="41" spans="1:25">
      <c r="A41" s="460"/>
      <c r="B41" s="403" t="s">
        <v>209</v>
      </c>
      <c r="C41" s="403" t="s">
        <v>210</v>
      </c>
      <c r="D41" s="403" t="s">
        <v>211</v>
      </c>
      <c r="E41" s="403" t="s">
        <v>212</v>
      </c>
      <c r="F41" s="403" t="s">
        <v>213</v>
      </c>
      <c r="G41" s="403" t="s">
        <v>214</v>
      </c>
      <c r="H41" s="404" t="s">
        <v>215</v>
      </c>
      <c r="I41" s="404" t="s">
        <v>216</v>
      </c>
      <c r="J41" s="404" t="s">
        <v>217</v>
      </c>
      <c r="K41" s="404" t="s">
        <v>218</v>
      </c>
      <c r="L41" s="404" t="s">
        <v>219</v>
      </c>
      <c r="M41" s="404" t="s">
        <v>220</v>
      </c>
      <c r="N41" s="404" t="s">
        <v>221</v>
      </c>
      <c r="O41" s="404" t="s">
        <v>222</v>
      </c>
      <c r="P41" s="404" t="s">
        <v>223</v>
      </c>
      <c r="Q41" s="404" t="s">
        <v>224</v>
      </c>
      <c r="R41" s="461" t="s">
        <v>225</v>
      </c>
      <c r="S41" s="295"/>
    </row>
    <row r="42" spans="1:25">
      <c r="A42" s="460" t="s">
        <v>226</v>
      </c>
      <c r="B42" s="212">
        <f>Values!B3</f>
        <v>-845</v>
      </c>
      <c r="C42" s="212">
        <f>Values!C3</f>
        <v>469</v>
      </c>
      <c r="D42" s="212">
        <f>Values!D3</f>
        <v>675</v>
      </c>
      <c r="E42" s="212">
        <f>Values!E3</f>
        <v>228</v>
      </c>
      <c r="F42" s="212">
        <f>Values!F3</f>
        <v>321</v>
      </c>
      <c r="G42" s="212">
        <f>Values!G3</f>
        <v>382</v>
      </c>
      <c r="H42" s="212">
        <f ca="1">Values!H3</f>
        <v>424.4546967833262</v>
      </c>
      <c r="I42" s="212">
        <f ca="1">Values!I3</f>
        <v>1355.4546967833262</v>
      </c>
      <c r="J42" s="212">
        <f ca="1">Values!J3</f>
        <v>2037.8143764956922</v>
      </c>
      <c r="K42" s="212">
        <f ca="1">Values!K3</f>
        <v>2792.0736883025825</v>
      </c>
      <c r="L42" s="212">
        <f ca="1">Values!L3</f>
        <v>3689.6745970427919</v>
      </c>
      <c r="M42" s="212">
        <f ca="1">Values!M3</f>
        <v>4401.1135941032026</v>
      </c>
      <c r="N42" s="212">
        <f ca="1">Values!N3</f>
        <v>5184.1077547570112</v>
      </c>
      <c r="O42" s="212">
        <f ca="1">Values!O3</f>
        <v>5976.3811923875064</v>
      </c>
      <c r="P42" s="212">
        <f ca="1">Values!P3</f>
        <v>6748.6268595394658</v>
      </c>
      <c r="Q42" s="212">
        <f ca="1">Values!Q3</f>
        <v>7528.5204092549993</v>
      </c>
      <c r="R42" s="463">
        <f ca="1">Values!R3</f>
        <v>8333.9978824817517</v>
      </c>
      <c r="S42" s="295"/>
    </row>
    <row r="43" spans="1:25">
      <c r="A43" s="460" t="s">
        <v>40</v>
      </c>
      <c r="B43" s="212">
        <f t="shared" ref="B43:R43" si="8">B4</f>
        <v>1506</v>
      </c>
      <c r="C43" s="212">
        <f t="shared" si="8"/>
        <v>1706</v>
      </c>
      <c r="D43" s="212">
        <f t="shared" si="8"/>
        <v>2457</v>
      </c>
      <c r="E43" s="212">
        <f t="shared" si="8"/>
        <v>788</v>
      </c>
      <c r="F43" s="212">
        <f t="shared" si="8"/>
        <v>844</v>
      </c>
      <c r="G43" s="212">
        <f t="shared" si="8"/>
        <v>858</v>
      </c>
      <c r="H43" s="212">
        <f t="shared" ca="1" si="8"/>
        <v>883.20225131634095</v>
      </c>
      <c r="I43" s="212">
        <f t="shared" ca="1" si="8"/>
        <v>3381.2832513163407</v>
      </c>
      <c r="J43" s="212">
        <f t="shared" ca="1" si="8"/>
        <v>4268.0020856347837</v>
      </c>
      <c r="K43" s="212">
        <f t="shared" ca="1" si="8"/>
        <v>5224.9939632893347</v>
      </c>
      <c r="L43" s="212">
        <f t="shared" ca="1" si="8"/>
        <v>6302.1616785357264</v>
      </c>
      <c r="M43" s="212">
        <f t="shared" ca="1" si="8"/>
        <v>7112.0101484289644</v>
      </c>
      <c r="N43" s="212">
        <f t="shared" ca="1" si="8"/>
        <v>7936.1614204808502</v>
      </c>
      <c r="O43" s="212">
        <f t="shared" ca="1" si="8"/>
        <v>8708.0580877484153</v>
      </c>
      <c r="P43" s="212">
        <f t="shared" ca="1" si="8"/>
        <v>9399.4448124867668</v>
      </c>
      <c r="Q43" s="212">
        <f t="shared" ca="1" si="8"/>
        <v>10059.23822736382</v>
      </c>
      <c r="R43" s="463">
        <f t="shared" ca="1" si="8"/>
        <v>10708.265057964709</v>
      </c>
      <c r="S43" s="295"/>
    </row>
    <row r="44" spans="1:25">
      <c r="A44" s="460" t="s">
        <v>250</v>
      </c>
      <c r="B44" s="211">
        <f>-Values!B15/B43</f>
        <v>0.20185922974767595</v>
      </c>
      <c r="C44" s="211">
        <f>-Values!C15/C43</f>
        <v>0.1910902696365768</v>
      </c>
      <c r="D44" s="211">
        <f>-Values!D15/D43</f>
        <v>0.22181522181522181</v>
      </c>
      <c r="E44" s="211">
        <f>-Values!E15/E43</f>
        <v>0.21446700507614214</v>
      </c>
      <c r="F44" s="211">
        <f>-Values!F15/F43</f>
        <v>0.19194312796208532</v>
      </c>
      <c r="G44" s="211">
        <f>-Values!G15/G43</f>
        <v>0.17482517482517482</v>
      </c>
      <c r="H44" s="209">
        <f>AVERAGE(E44:G44)</f>
        <v>0.19374510262113409</v>
      </c>
      <c r="I44" s="209">
        <f>AVERAGE(E44:H44)</f>
        <v>0.19374510262113409</v>
      </c>
      <c r="J44" s="209">
        <f t="shared" ref="J44:R44" si="9">(1+F49)*I44</f>
        <v>0.18713620513054921</v>
      </c>
      <c r="K44" s="209">
        <f t="shared" si="9"/>
        <v>0.18075274573078653</v>
      </c>
      <c r="L44" s="209">
        <f t="shared" si="9"/>
        <v>0.17458703443529897</v>
      </c>
      <c r="M44" s="209">
        <f t="shared" si="9"/>
        <v>0.16863164357298438</v>
      </c>
      <c r="N44" s="209">
        <f t="shared" si="9"/>
        <v>0.16287939884026445</v>
      </c>
      <c r="O44" s="209">
        <f t="shared" si="9"/>
        <v>0.15732337065838886</v>
      </c>
      <c r="P44" s="209">
        <f t="shared" si="9"/>
        <v>0.15195686582555307</v>
      </c>
      <c r="Q44" s="209">
        <f t="shared" si="9"/>
        <v>0.14677341945377317</v>
      </c>
      <c r="R44" s="464">
        <f t="shared" si="9"/>
        <v>0.14176678718080446</v>
      </c>
      <c r="S44" s="295"/>
    </row>
    <row r="45" spans="1:25">
      <c r="A45" s="313"/>
      <c r="B45" s="295"/>
      <c r="C45" s="295"/>
      <c r="D45" s="295"/>
      <c r="E45" s="295"/>
      <c r="F45" s="295"/>
      <c r="G45" s="295"/>
      <c r="H45" s="295"/>
      <c r="I45" s="295"/>
      <c r="J45" s="295"/>
      <c r="K45" s="295"/>
      <c r="L45" s="295"/>
      <c r="M45" s="295"/>
      <c r="N45" s="295"/>
      <c r="O45" s="295"/>
      <c r="P45" s="295"/>
      <c r="Q45" s="295"/>
      <c r="R45" s="314"/>
      <c r="S45" s="295"/>
    </row>
    <row r="46" spans="1:25" ht="15.75" thickBot="1">
      <c r="A46" s="313"/>
      <c r="B46" s="295"/>
      <c r="C46" s="295"/>
      <c r="D46" s="295"/>
      <c r="E46" s="295"/>
      <c r="F46" s="295"/>
      <c r="G46" s="295"/>
      <c r="H46" s="295"/>
      <c r="I46" s="295"/>
      <c r="J46" s="295"/>
      <c r="K46" s="295"/>
      <c r="L46" s="295"/>
      <c r="M46" s="295"/>
      <c r="N46" s="295"/>
      <c r="O46" s="295"/>
      <c r="P46" s="295"/>
      <c r="Q46" s="295"/>
      <c r="R46" s="314"/>
      <c r="S46" s="295"/>
    </row>
    <row r="47" spans="1:25" ht="15.75" thickBot="1">
      <c r="A47" s="313"/>
      <c r="B47" s="295"/>
      <c r="C47" s="405" t="s">
        <v>210</v>
      </c>
      <c r="D47" s="405" t="s">
        <v>211</v>
      </c>
      <c r="E47" s="405" t="s">
        <v>216</v>
      </c>
      <c r="F47" s="404" t="s">
        <v>217</v>
      </c>
      <c r="G47" s="404" t="s">
        <v>218</v>
      </c>
      <c r="H47" s="404" t="s">
        <v>219</v>
      </c>
      <c r="I47" s="404" t="s">
        <v>220</v>
      </c>
      <c r="J47" s="404" t="s">
        <v>221</v>
      </c>
      <c r="K47" s="404" t="s">
        <v>222</v>
      </c>
      <c r="L47" s="404" t="s">
        <v>223</v>
      </c>
      <c r="M47" s="404" t="s">
        <v>224</v>
      </c>
      <c r="N47" s="404" t="s">
        <v>225</v>
      </c>
      <c r="O47" s="295"/>
      <c r="P47" s="817" t="s">
        <v>245</v>
      </c>
      <c r="Q47" s="816">
        <f>(((Y28+3.5%)/I44)^(1/9)-1)</f>
        <v>-3.4111300885413809E-2</v>
      </c>
      <c r="R47" s="314"/>
      <c r="S47" s="295"/>
    </row>
    <row r="48" spans="1:25">
      <c r="A48" s="819" t="s">
        <v>251</v>
      </c>
      <c r="B48" s="256"/>
      <c r="C48" s="401">
        <f>C44/B44-1</f>
        <v>-5.3348861603010889E-2</v>
      </c>
      <c r="D48" s="401">
        <f>D44/C44-1</f>
        <v>0.16078763318027112</v>
      </c>
      <c r="E48" s="401">
        <f>I44/D44-1</f>
        <v>-0.12654730799976799</v>
      </c>
      <c r="F48" s="866" t="s">
        <v>247</v>
      </c>
      <c r="G48" s="866"/>
      <c r="H48" s="866"/>
      <c r="I48" s="866"/>
      <c r="J48" s="866"/>
      <c r="K48" s="866"/>
      <c r="L48" s="866"/>
      <c r="M48" s="866"/>
      <c r="N48" s="866"/>
      <c r="O48" s="295"/>
      <c r="P48" s="295"/>
      <c r="Q48" s="295"/>
      <c r="R48" s="314"/>
      <c r="S48" s="295"/>
    </row>
    <row r="49" spans="1:19" ht="15.75" thickBot="1">
      <c r="A49" s="863" t="s">
        <v>248</v>
      </c>
      <c r="B49" s="864"/>
      <c r="C49" s="864"/>
      <c r="D49" s="865"/>
      <c r="E49" s="820">
        <f>AVERAGE(C48:E48)</f>
        <v>-6.3695121408359201E-3</v>
      </c>
      <c r="F49" s="780">
        <f>Q47</f>
        <v>-3.4111300885413809E-2</v>
      </c>
      <c r="G49" s="780">
        <f t="shared" ref="G49:N49" si="10">F49</f>
        <v>-3.4111300885413809E-2</v>
      </c>
      <c r="H49" s="780">
        <f t="shared" si="10"/>
        <v>-3.4111300885413809E-2</v>
      </c>
      <c r="I49" s="780">
        <f t="shared" si="10"/>
        <v>-3.4111300885413809E-2</v>
      </c>
      <c r="J49" s="780">
        <f t="shared" si="10"/>
        <v>-3.4111300885413809E-2</v>
      </c>
      <c r="K49" s="821">
        <f>Q47</f>
        <v>-3.4111300885413809E-2</v>
      </c>
      <c r="L49" s="822">
        <f t="shared" si="10"/>
        <v>-3.4111300885413809E-2</v>
      </c>
      <c r="M49" s="822">
        <f t="shared" si="10"/>
        <v>-3.4111300885413809E-2</v>
      </c>
      <c r="N49" s="823">
        <f t="shared" si="10"/>
        <v>-3.4111300885413809E-2</v>
      </c>
      <c r="O49" s="373"/>
      <c r="P49" s="373"/>
      <c r="Q49" s="373"/>
      <c r="R49" s="375"/>
      <c r="S49" s="295"/>
    </row>
    <row r="50" spans="1:19" ht="4.1500000000000004" customHeight="1">
      <c r="A50" s="295"/>
      <c r="B50" s="295"/>
      <c r="C50" s="295"/>
      <c r="D50" s="295"/>
      <c r="E50" s="295"/>
      <c r="F50" s="295"/>
      <c r="G50" s="295"/>
      <c r="H50" s="295"/>
      <c r="I50" s="295"/>
      <c r="J50" s="295"/>
      <c r="K50" s="295"/>
      <c r="L50" s="295"/>
      <c r="M50" s="295"/>
      <c r="N50" s="295"/>
      <c r="O50" s="295"/>
      <c r="P50" s="295"/>
      <c r="Q50" s="295"/>
      <c r="R50" s="295"/>
      <c r="S50" s="295"/>
    </row>
    <row r="51" spans="1:19" ht="4.1500000000000004" customHeight="1">
      <c r="A51" s="295"/>
      <c r="B51" s="295"/>
      <c r="C51" s="295"/>
      <c r="D51" s="295"/>
      <c r="E51" s="295"/>
      <c r="F51" s="295"/>
      <c r="G51" s="295"/>
      <c r="H51" s="295"/>
      <c r="I51" s="295"/>
      <c r="J51" s="295"/>
      <c r="K51" s="295"/>
      <c r="L51" s="295"/>
      <c r="M51" s="295"/>
      <c r="N51" s="295"/>
      <c r="O51" s="295"/>
      <c r="P51" s="295"/>
      <c r="Q51" s="295"/>
      <c r="R51" s="295"/>
      <c r="S51" s="295"/>
    </row>
    <row r="52" spans="1:19" ht="4.1500000000000004" customHeight="1">
      <c r="A52" s="295"/>
      <c r="B52" s="295"/>
      <c r="C52" s="295"/>
      <c r="D52" s="295"/>
      <c r="E52" s="295"/>
      <c r="F52" s="295"/>
      <c r="G52" s="295"/>
      <c r="H52" s="295"/>
      <c r="I52" s="295"/>
      <c r="J52" s="295"/>
      <c r="K52" s="295"/>
      <c r="L52" s="295"/>
      <c r="M52" s="295"/>
      <c r="N52" s="295"/>
      <c r="O52" s="295"/>
      <c r="P52" s="295"/>
      <c r="Q52" s="295"/>
      <c r="R52" s="295"/>
      <c r="S52" s="295"/>
    </row>
    <row r="53" spans="1:19" ht="4.1500000000000004" customHeight="1">
      <c r="A53" s="295"/>
      <c r="B53" s="295"/>
      <c r="C53" s="295"/>
      <c r="D53" s="295"/>
      <c r="E53" s="295"/>
      <c r="F53" s="295"/>
      <c r="G53" s="295"/>
      <c r="H53" s="295"/>
      <c r="I53" s="295"/>
      <c r="J53" s="295"/>
      <c r="K53" s="295"/>
      <c r="L53" s="295"/>
      <c r="M53" s="295"/>
      <c r="N53" s="295"/>
      <c r="O53" s="295"/>
      <c r="P53" s="295"/>
      <c r="Q53" s="295"/>
      <c r="R53" s="295"/>
      <c r="S53" s="295"/>
    </row>
    <row r="54" spans="1:19" ht="4.1500000000000004" customHeight="1">
      <c r="A54" s="295"/>
      <c r="B54" s="295"/>
      <c r="C54" s="295"/>
      <c r="D54" s="295"/>
      <c r="E54" s="295"/>
      <c r="F54" s="295"/>
      <c r="G54" s="295"/>
      <c r="H54" s="295"/>
      <c r="I54" s="295"/>
      <c r="J54" s="295"/>
      <c r="K54" s="295"/>
      <c r="L54" s="295"/>
      <c r="M54" s="295"/>
      <c r="N54" s="295"/>
      <c r="O54" s="295"/>
      <c r="P54" s="295"/>
      <c r="Q54" s="295"/>
      <c r="R54" s="295"/>
      <c r="S54" s="295"/>
    </row>
    <row r="55" spans="1:19" ht="4.1500000000000004" customHeight="1">
      <c r="A55" s="295"/>
      <c r="B55" s="295"/>
      <c r="C55" s="295"/>
      <c r="D55" s="295"/>
      <c r="E55" s="295"/>
      <c r="F55" s="295"/>
      <c r="G55" s="295"/>
      <c r="H55" s="295"/>
      <c r="I55" s="295"/>
      <c r="J55" s="295"/>
      <c r="K55" s="295"/>
      <c r="L55" s="295"/>
      <c r="M55" s="295"/>
      <c r="N55" s="295"/>
      <c r="O55" s="295"/>
      <c r="P55" s="295"/>
      <c r="Q55" s="295"/>
      <c r="R55" s="295"/>
      <c r="S55" s="295"/>
    </row>
    <row r="56" spans="1:19" ht="4.1500000000000004" customHeight="1">
      <c r="A56" s="295"/>
      <c r="B56" s="295"/>
      <c r="C56" s="295"/>
      <c r="D56" s="295"/>
      <c r="E56" s="295"/>
      <c r="F56" s="295"/>
      <c r="G56" s="295"/>
      <c r="H56" s="295"/>
      <c r="I56" s="295"/>
      <c r="J56" s="295"/>
      <c r="K56" s="295"/>
      <c r="L56" s="295"/>
      <c r="M56" s="295"/>
      <c r="N56" s="295"/>
      <c r="O56" s="295"/>
      <c r="P56" s="295"/>
      <c r="Q56" s="295"/>
      <c r="R56" s="295"/>
      <c r="S56" s="295"/>
    </row>
    <row r="57" spans="1:19" ht="4.1500000000000004" customHeight="1" thickBot="1">
      <c r="A57" s="295"/>
      <c r="B57" s="295"/>
      <c r="C57" s="295"/>
      <c r="D57" s="295"/>
      <c r="E57" s="295"/>
      <c r="F57" s="295"/>
      <c r="G57" s="295"/>
      <c r="H57" s="295"/>
      <c r="I57" s="295"/>
      <c r="J57" s="295"/>
      <c r="K57" s="295"/>
      <c r="L57" s="295"/>
      <c r="M57" s="295"/>
      <c r="N57" s="295"/>
      <c r="O57" s="295"/>
      <c r="P57" s="295"/>
      <c r="Q57" s="295"/>
      <c r="R57" s="295"/>
      <c r="S57" s="295"/>
    </row>
    <row r="58" spans="1:19">
      <c r="A58" s="868" t="s">
        <v>252</v>
      </c>
      <c r="B58" s="869"/>
      <c r="C58" s="869"/>
      <c r="D58" s="869"/>
      <c r="E58" s="869"/>
      <c r="F58" s="869"/>
      <c r="G58" s="869"/>
      <c r="H58" s="869"/>
      <c r="I58" s="869"/>
      <c r="J58" s="869"/>
      <c r="K58" s="869"/>
      <c r="L58" s="869"/>
      <c r="M58" s="869"/>
      <c r="N58" s="869"/>
      <c r="O58" s="869"/>
      <c r="P58" s="869"/>
      <c r="Q58" s="869"/>
      <c r="R58" s="870"/>
      <c r="S58" s="295"/>
    </row>
    <row r="59" spans="1:19">
      <c r="A59" s="460"/>
      <c r="B59" s="403" t="s">
        <v>209</v>
      </c>
      <c r="C59" s="403" t="s">
        <v>210</v>
      </c>
      <c r="D59" s="403" t="s">
        <v>211</v>
      </c>
      <c r="E59" s="403" t="s">
        <v>212</v>
      </c>
      <c r="F59" s="403" t="s">
        <v>213</v>
      </c>
      <c r="G59" s="403" t="s">
        <v>214</v>
      </c>
      <c r="H59" s="404" t="s">
        <v>215</v>
      </c>
      <c r="I59" s="404" t="s">
        <v>216</v>
      </c>
      <c r="J59" s="404" t="s">
        <v>217</v>
      </c>
      <c r="K59" s="404" t="s">
        <v>218</v>
      </c>
      <c r="L59" s="404" t="s">
        <v>219</v>
      </c>
      <c r="M59" s="404" t="s">
        <v>220</v>
      </c>
      <c r="N59" s="404" t="s">
        <v>221</v>
      </c>
      <c r="O59" s="404" t="s">
        <v>222</v>
      </c>
      <c r="P59" s="404" t="s">
        <v>223</v>
      </c>
      <c r="Q59" s="404" t="s">
        <v>224</v>
      </c>
      <c r="R59" s="461" t="s">
        <v>225</v>
      </c>
      <c r="S59" s="295"/>
    </row>
    <row r="60" spans="1:19">
      <c r="A60" s="460" t="s">
        <v>226</v>
      </c>
      <c r="B60" s="212">
        <f>Values!B3</f>
        <v>-845</v>
      </c>
      <c r="C60" s="212">
        <f>Values!C3</f>
        <v>469</v>
      </c>
      <c r="D60" s="212">
        <f>Values!D3</f>
        <v>675</v>
      </c>
      <c r="E60" s="212">
        <f>Values!E3</f>
        <v>228</v>
      </c>
      <c r="F60" s="212">
        <f>Values!F3</f>
        <v>321</v>
      </c>
      <c r="G60" s="212">
        <f>Values!G3</f>
        <v>382</v>
      </c>
      <c r="H60" s="212">
        <f ca="1">Values!H3</f>
        <v>424.4546967833262</v>
      </c>
      <c r="I60" s="212">
        <f ca="1">Values!I3</f>
        <v>1355.4546967833262</v>
      </c>
      <c r="J60" s="212">
        <f ca="1">Values!J3</f>
        <v>2037.8143764956922</v>
      </c>
      <c r="K60" s="212">
        <f ca="1">Values!K3</f>
        <v>2792.0736883025825</v>
      </c>
      <c r="L60" s="212">
        <f ca="1">Values!L3</f>
        <v>3689.6745970427919</v>
      </c>
      <c r="M60" s="212">
        <f ca="1">Values!M3</f>
        <v>4401.1135941032026</v>
      </c>
      <c r="N60" s="212">
        <f ca="1">Values!N3</f>
        <v>5184.1077547570112</v>
      </c>
      <c r="O60" s="212">
        <f ca="1">Values!O3</f>
        <v>5976.3811923875064</v>
      </c>
      <c r="P60" s="212">
        <f ca="1">Values!P3</f>
        <v>6748.6268595394658</v>
      </c>
      <c r="Q60" s="212">
        <f ca="1">Values!Q3</f>
        <v>7528.5204092549993</v>
      </c>
      <c r="R60" s="463">
        <f ca="1">Values!R3</f>
        <v>8333.9978824817517</v>
      </c>
      <c r="S60" s="295"/>
    </row>
    <row r="61" spans="1:19">
      <c r="A61" s="460" t="s">
        <v>40</v>
      </c>
      <c r="B61" s="212">
        <f t="shared" ref="B61:R61" si="11">B4</f>
        <v>1506</v>
      </c>
      <c r="C61" s="212">
        <f t="shared" si="11"/>
        <v>1706</v>
      </c>
      <c r="D61" s="212">
        <f t="shared" si="11"/>
        <v>2457</v>
      </c>
      <c r="E61" s="212">
        <f t="shared" si="11"/>
        <v>788</v>
      </c>
      <c r="F61" s="212">
        <f t="shared" si="11"/>
        <v>844</v>
      </c>
      <c r="G61" s="212">
        <f t="shared" si="11"/>
        <v>858</v>
      </c>
      <c r="H61" s="212">
        <f t="shared" ca="1" si="11"/>
        <v>883.20225131634095</v>
      </c>
      <c r="I61" s="212">
        <f t="shared" ca="1" si="11"/>
        <v>3381.2832513163407</v>
      </c>
      <c r="J61" s="212">
        <f t="shared" ca="1" si="11"/>
        <v>4268.0020856347837</v>
      </c>
      <c r="K61" s="212">
        <f t="shared" ca="1" si="11"/>
        <v>5224.9939632893347</v>
      </c>
      <c r="L61" s="212">
        <f t="shared" ca="1" si="11"/>
        <v>6302.1616785357264</v>
      </c>
      <c r="M61" s="212">
        <f t="shared" ca="1" si="11"/>
        <v>7112.0101484289644</v>
      </c>
      <c r="N61" s="212">
        <f t="shared" ca="1" si="11"/>
        <v>7936.1614204808502</v>
      </c>
      <c r="O61" s="212">
        <f t="shared" ca="1" si="11"/>
        <v>8708.0580877484153</v>
      </c>
      <c r="P61" s="212">
        <f t="shared" ca="1" si="11"/>
        <v>9399.4448124867668</v>
      </c>
      <c r="Q61" s="212">
        <f t="shared" ca="1" si="11"/>
        <v>10059.23822736382</v>
      </c>
      <c r="R61" s="463">
        <f t="shared" ca="1" si="11"/>
        <v>10708.265057964709</v>
      </c>
      <c r="S61" s="295"/>
    </row>
    <row r="62" spans="1:19">
      <c r="A62" s="460" t="s">
        <v>253</v>
      </c>
      <c r="B62" s="211">
        <f>-Values!B16/'Forecast for Expenses'!B61</f>
        <v>0.15338645418326693</v>
      </c>
      <c r="C62" s="211">
        <f>-Values!C16/'Forecast for Expenses'!C61</f>
        <v>0.15064478311840562</v>
      </c>
      <c r="D62" s="211">
        <f>-Values!D16/'Forecast for Expenses'!D61</f>
        <v>0.14489214489214489</v>
      </c>
      <c r="E62" s="211">
        <f>-Values!E16/'Forecast for Expenses'!E61</f>
        <v>0.15101522842639595</v>
      </c>
      <c r="F62" s="211">
        <f>-Values!F16/'Forecast for Expenses'!F61</f>
        <v>0.14336492890995262</v>
      </c>
      <c r="G62" s="211">
        <f>-Values!G16/'Forecast for Expenses'!G61</f>
        <v>0.1351981351981352</v>
      </c>
      <c r="H62" s="209">
        <f>AVERAGE(E62:G62)</f>
        <v>0.14319276417816126</v>
      </c>
      <c r="I62" s="209">
        <f>AVERAGE(E62:H62)</f>
        <v>0.14319276417816126</v>
      </c>
      <c r="J62" s="209">
        <f t="shared" ref="J62:R62" si="12">(1+F67)*I62</f>
        <v>0.13734140349864127</v>
      </c>
      <c r="K62" s="209">
        <f t="shared" si="12"/>
        <v>0.13172915002539903</v>
      </c>
      <c r="L62" s="209">
        <f t="shared" si="12"/>
        <v>0.12634623299583334</v>
      </c>
      <c r="M62" s="209">
        <f t="shared" si="12"/>
        <v>0.12118328091511608</v>
      </c>
      <c r="N62" s="209">
        <f t="shared" si="12"/>
        <v>0.116231305240705</v>
      </c>
      <c r="O62" s="209">
        <f t="shared" si="12"/>
        <v>0.11148168473356436</v>
      </c>
      <c r="P62" s="209">
        <f t="shared" si="12"/>
        <v>0.10692615044885005</v>
      </c>
      <c r="Q62" s="209">
        <f t="shared" si="12"/>
        <v>0.10255677133992813</v>
      </c>
      <c r="R62" s="464">
        <f t="shared" si="12"/>
        <v>9.8365940450663811E-2</v>
      </c>
      <c r="S62" s="295"/>
    </row>
    <row r="63" spans="1:19">
      <c r="A63" s="313"/>
      <c r="B63" s="295"/>
      <c r="C63" s="295"/>
      <c r="D63" s="295"/>
      <c r="E63" s="295"/>
      <c r="F63" s="295"/>
      <c r="G63" s="295"/>
      <c r="H63" s="295"/>
      <c r="I63" s="295"/>
      <c r="J63" s="295"/>
      <c r="K63" s="295"/>
      <c r="L63" s="295"/>
      <c r="M63" s="818"/>
      <c r="N63" s="295"/>
      <c r="O63" s="295"/>
      <c r="P63" s="295"/>
      <c r="Q63" s="295"/>
      <c r="R63" s="314"/>
      <c r="S63" s="295"/>
    </row>
    <row r="64" spans="1:19" ht="15.75" thickBot="1">
      <c r="A64" s="313"/>
      <c r="B64" s="295"/>
      <c r="C64" s="295"/>
      <c r="D64" s="295"/>
      <c r="E64" s="295"/>
      <c r="F64" s="295"/>
      <c r="G64" s="295"/>
      <c r="H64" s="295"/>
      <c r="I64" s="295"/>
      <c r="J64" s="295"/>
      <c r="K64" s="295"/>
      <c r="L64" s="295"/>
      <c r="M64" s="295"/>
      <c r="N64" s="295"/>
      <c r="O64" s="295"/>
      <c r="P64" s="295"/>
      <c r="Q64" s="295"/>
      <c r="R64" s="314"/>
      <c r="S64" s="295"/>
    </row>
    <row r="65" spans="1:19" ht="15.75" thickBot="1">
      <c r="A65" s="313"/>
      <c r="B65" s="295"/>
      <c r="C65" s="405" t="s">
        <v>210</v>
      </c>
      <c r="D65" s="405" t="s">
        <v>211</v>
      </c>
      <c r="E65" s="405" t="s">
        <v>216</v>
      </c>
      <c r="F65" s="404" t="s">
        <v>217</v>
      </c>
      <c r="G65" s="404" t="s">
        <v>218</v>
      </c>
      <c r="H65" s="404" t="s">
        <v>219</v>
      </c>
      <c r="I65" s="404" t="s">
        <v>220</v>
      </c>
      <c r="J65" s="404" t="s">
        <v>221</v>
      </c>
      <c r="K65" s="404" t="s">
        <v>222</v>
      </c>
      <c r="L65" s="404" t="s">
        <v>223</v>
      </c>
      <c r="M65" s="404" t="s">
        <v>224</v>
      </c>
      <c r="N65" s="404" t="s">
        <v>225</v>
      </c>
      <c r="O65" s="295"/>
      <c r="P65" s="817" t="s">
        <v>245</v>
      </c>
      <c r="Q65" s="816">
        <f>(Z28/I62)^(1/9)-1</f>
        <v>-4.0863522071825531E-2</v>
      </c>
      <c r="R65" s="8"/>
      <c r="S65" s="295"/>
    </row>
    <row r="66" spans="1:19">
      <c r="A66" s="819" t="s">
        <v>254</v>
      </c>
      <c r="B66" s="256"/>
      <c r="C66" s="401">
        <f>C62/B62-1</f>
        <v>-1.7874271098186734E-2</v>
      </c>
      <c r="D66" s="401">
        <f>D62/C62-1</f>
        <v>-3.8186773595333956E-2</v>
      </c>
      <c r="E66" s="401">
        <f>I62/D62-1</f>
        <v>-1.1728591051285875E-2</v>
      </c>
      <c r="F66" s="866" t="s">
        <v>247</v>
      </c>
      <c r="G66" s="866"/>
      <c r="H66" s="866"/>
      <c r="I66" s="866"/>
      <c r="J66" s="866"/>
      <c r="K66" s="866"/>
      <c r="L66" s="866"/>
      <c r="M66" s="866"/>
      <c r="N66" s="866"/>
      <c r="O66" s="295"/>
      <c r="P66" s="295"/>
      <c r="Q66" s="295"/>
      <c r="R66" s="314"/>
      <c r="S66" s="295"/>
    </row>
    <row r="67" spans="1:19" ht="15.75" thickBot="1">
      <c r="A67" s="863" t="s">
        <v>248</v>
      </c>
      <c r="B67" s="864"/>
      <c r="C67" s="864"/>
      <c r="D67" s="865"/>
      <c r="E67" s="820">
        <f>AVERAGE(C66:E66)</f>
        <v>-2.2596545248268856E-2</v>
      </c>
      <c r="F67" s="780">
        <f>Q65</f>
        <v>-4.0863522071825531E-2</v>
      </c>
      <c r="G67" s="780">
        <f>F67</f>
        <v>-4.0863522071825531E-2</v>
      </c>
      <c r="H67" s="780">
        <f t="shared" ref="H67:N67" si="13">G67</f>
        <v>-4.0863522071825531E-2</v>
      </c>
      <c r="I67" s="780">
        <f t="shared" si="13"/>
        <v>-4.0863522071825531E-2</v>
      </c>
      <c r="J67" s="780">
        <f t="shared" si="13"/>
        <v>-4.0863522071825531E-2</v>
      </c>
      <c r="K67" s="821">
        <f>J67</f>
        <v>-4.0863522071825531E-2</v>
      </c>
      <c r="L67" s="822">
        <f t="shared" si="13"/>
        <v>-4.0863522071825531E-2</v>
      </c>
      <c r="M67" s="822">
        <f t="shared" si="13"/>
        <v>-4.0863522071825531E-2</v>
      </c>
      <c r="N67" s="823">
        <f t="shared" si="13"/>
        <v>-4.0863522071825531E-2</v>
      </c>
      <c r="O67" s="373"/>
      <c r="P67" s="373"/>
      <c r="Q67" s="373"/>
      <c r="R67" s="375"/>
      <c r="S67" s="295"/>
    </row>
    <row r="68" spans="1:19">
      <c r="A68" s="295"/>
      <c r="B68" s="295"/>
      <c r="C68" s="295"/>
      <c r="D68" s="295"/>
      <c r="E68" s="295"/>
      <c r="F68" s="295"/>
      <c r="G68" s="295"/>
      <c r="H68" s="295"/>
      <c r="I68" s="295"/>
      <c r="J68" s="295"/>
      <c r="K68" s="295"/>
      <c r="L68" s="295"/>
      <c r="M68" s="295"/>
      <c r="N68" s="295"/>
      <c r="O68" s="295"/>
      <c r="P68" s="295"/>
      <c r="Q68" s="295"/>
      <c r="R68" s="295"/>
      <c r="S68" s="295"/>
    </row>
    <row r="69" spans="1:19">
      <c r="A69" s="295"/>
      <c r="B69" s="295"/>
      <c r="C69" s="295"/>
      <c r="D69" s="295"/>
      <c r="E69" s="295"/>
      <c r="F69" s="295"/>
      <c r="G69" s="295"/>
      <c r="H69" s="295"/>
      <c r="I69" s="295"/>
      <c r="J69" s="295"/>
      <c r="K69" s="295"/>
      <c r="L69" s="295"/>
      <c r="M69" s="295"/>
      <c r="N69" s="295"/>
      <c r="O69" s="295"/>
      <c r="P69" s="295"/>
      <c r="Q69" s="295"/>
      <c r="R69" s="295"/>
      <c r="S69" s="295"/>
    </row>
    <row r="70" spans="1:19">
      <c r="A70" s="295"/>
      <c r="B70" s="295"/>
      <c r="C70" s="295"/>
      <c r="D70" s="295"/>
      <c r="E70" s="295"/>
      <c r="F70" s="295"/>
      <c r="G70" s="295"/>
      <c r="H70" s="295"/>
      <c r="I70" s="295"/>
      <c r="J70" s="295"/>
      <c r="K70" s="295"/>
      <c r="L70" s="295"/>
      <c r="M70" s="295"/>
      <c r="N70" s="295"/>
      <c r="O70" s="295"/>
      <c r="P70" s="295"/>
      <c r="Q70" s="295"/>
      <c r="R70" s="295"/>
      <c r="S70" s="295"/>
    </row>
  </sheetData>
  <mergeCells count="14">
    <mergeCell ref="V22:Z22"/>
    <mergeCell ref="V28:X28"/>
    <mergeCell ref="A58:R58"/>
    <mergeCell ref="F66:N66"/>
    <mergeCell ref="A67:D67"/>
    <mergeCell ref="A40:R40"/>
    <mergeCell ref="F48:N48"/>
    <mergeCell ref="A49:D49"/>
    <mergeCell ref="A13:D13"/>
    <mergeCell ref="F12:N12"/>
    <mergeCell ref="F30:N30"/>
    <mergeCell ref="A31:D31"/>
    <mergeCell ref="A1:R1"/>
    <mergeCell ref="A22:R2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7B5A1-5B58-408B-A3C8-BE8F68580830}">
  <sheetPr codeName="Sheet6"/>
  <dimension ref="B1:AB55"/>
  <sheetViews>
    <sheetView showGridLines="0" topLeftCell="A41" workbookViewId="0">
      <selection activeCell="L58" sqref="L58"/>
    </sheetView>
  </sheetViews>
  <sheetFormatPr defaultColWidth="8.7109375" defaultRowHeight="15"/>
  <cols>
    <col min="2" max="2" width="16.140625" customWidth="1"/>
    <col min="3" max="5" width="6.42578125" customWidth="1"/>
    <col min="6" max="9" width="7" bestFit="1" customWidth="1"/>
    <col min="10" max="19" width="6.42578125" customWidth="1"/>
    <col min="20" max="20" width="17.7109375" bestFit="1" customWidth="1"/>
  </cols>
  <sheetData>
    <row r="1" spans="2:28">
      <c r="B1" t="s">
        <v>255</v>
      </c>
      <c r="D1" s="418"/>
    </row>
    <row r="2" spans="2:28" ht="15.75" thickBot="1"/>
    <row r="3" spans="2:28">
      <c r="B3" s="877" t="s">
        <v>233</v>
      </c>
      <c r="C3" s="878"/>
      <c r="D3" s="878"/>
      <c r="E3" s="878"/>
      <c r="F3" s="878"/>
      <c r="G3" s="878"/>
      <c r="H3" s="878"/>
      <c r="I3" s="878"/>
      <c r="J3" s="878"/>
      <c r="K3" s="879"/>
      <c r="T3" s="877" t="s">
        <v>233</v>
      </c>
      <c r="U3" s="878"/>
      <c r="V3" s="878"/>
      <c r="W3" s="878"/>
      <c r="X3" s="878"/>
      <c r="Y3" s="878"/>
      <c r="Z3" s="878"/>
      <c r="AA3" s="878"/>
      <c r="AB3" s="879"/>
    </row>
    <row r="4" spans="2:28">
      <c r="B4" s="460"/>
      <c r="C4" s="404" t="s">
        <v>217</v>
      </c>
      <c r="D4" s="404" t="s">
        <v>218</v>
      </c>
      <c r="E4" s="404" t="s">
        <v>219</v>
      </c>
      <c r="F4" s="404" t="s">
        <v>220</v>
      </c>
      <c r="G4" s="404" t="s">
        <v>221</v>
      </c>
      <c r="H4" s="404" t="s">
        <v>222</v>
      </c>
      <c r="I4" s="404" t="s">
        <v>223</v>
      </c>
      <c r="J4" s="404" t="s">
        <v>224</v>
      </c>
      <c r="K4" s="461" t="s">
        <v>225</v>
      </c>
      <c r="N4" s="883"/>
      <c r="O4" s="883"/>
      <c r="T4" s="460"/>
      <c r="U4" s="403" t="s">
        <v>209</v>
      </c>
      <c r="V4" s="403" t="s">
        <v>210</v>
      </c>
      <c r="W4" s="403" t="s">
        <v>211</v>
      </c>
      <c r="X4" s="403" t="s">
        <v>212</v>
      </c>
      <c r="Y4" s="403" t="s">
        <v>213</v>
      </c>
      <c r="Z4" s="403" t="s">
        <v>214</v>
      </c>
      <c r="AA4" s="622" t="s">
        <v>215</v>
      </c>
      <c r="AB4" s="461" t="s">
        <v>256</v>
      </c>
    </row>
    <row r="5" spans="2:28" ht="19.149999999999999" customHeight="1">
      <c r="B5" s="462" t="s">
        <v>226</v>
      </c>
      <c r="C5" s="212">
        <f ca="1">'Forecast for Expenses'!J24</f>
        <v>2037.8143764956922</v>
      </c>
      <c r="D5" s="212">
        <f ca="1">'Forecast for Expenses'!K24</f>
        <v>2792.0736883025825</v>
      </c>
      <c r="E5" s="212">
        <f ca="1">'Forecast for Expenses'!L24</f>
        <v>3689.6745970427919</v>
      </c>
      <c r="F5" s="212">
        <f ca="1">'Forecast for Expenses'!M24</f>
        <v>4401.1135941032026</v>
      </c>
      <c r="G5" s="212">
        <f ca="1">'Forecast for Expenses'!N24</f>
        <v>5184.1077547570112</v>
      </c>
      <c r="H5" s="212">
        <f ca="1">'Forecast for Expenses'!O24</f>
        <v>5976.3811923875064</v>
      </c>
      <c r="I5" s="212">
        <f ca="1">'Forecast for Expenses'!P24</f>
        <v>6748.6268595394658</v>
      </c>
      <c r="J5" s="212">
        <f ca="1">'Forecast for Expenses'!Q24</f>
        <v>7528.5204092549993</v>
      </c>
      <c r="K5" s="463">
        <f ca="1">'Forecast for Expenses'!R24</f>
        <v>8333.9978824817517</v>
      </c>
      <c r="N5" s="883"/>
      <c r="O5" s="883"/>
      <c r="T5" s="462" t="s">
        <v>226</v>
      </c>
      <c r="U5" s="212">
        <f>'Forecast for Expenses'!B24</f>
        <v>-845</v>
      </c>
      <c r="V5" s="212">
        <f>'Forecast for Expenses'!C24</f>
        <v>469</v>
      </c>
      <c r="W5" s="212">
        <f>'Forecast for Expenses'!D24</f>
        <v>675</v>
      </c>
      <c r="X5" s="212">
        <f>'Forecast for Expenses'!E24</f>
        <v>228</v>
      </c>
      <c r="Y5" s="212">
        <f>'Forecast for Expenses'!F24</f>
        <v>321</v>
      </c>
      <c r="Z5" s="212">
        <f>'Forecast for Expenses'!G24</f>
        <v>382</v>
      </c>
      <c r="AA5" s="623">
        <f ca="1">'Forecast for Expenses'!H24</f>
        <v>424.4546967833262</v>
      </c>
      <c r="AB5" s="463">
        <f ca="1">'Forecast for Expenses'!I24</f>
        <v>1355.4546967833262</v>
      </c>
    </row>
    <row r="6" spans="2:28" ht="22.15" customHeight="1">
      <c r="B6" s="462" t="s">
        <v>40</v>
      </c>
      <c r="C6" s="212">
        <f ca="1">'Forecast for Expenses'!J25</f>
        <v>4268.0020856347837</v>
      </c>
      <c r="D6" s="212">
        <f ca="1">'Forecast for Expenses'!K25</f>
        <v>5224.9939632893347</v>
      </c>
      <c r="E6" s="212">
        <f ca="1">'Forecast for Expenses'!L25</f>
        <v>6302.1616785357264</v>
      </c>
      <c r="F6" s="212">
        <f ca="1">'Forecast for Expenses'!M25</f>
        <v>7112.0101484289644</v>
      </c>
      <c r="G6" s="212">
        <f ca="1">'Forecast for Expenses'!N25</f>
        <v>7936.1614204808502</v>
      </c>
      <c r="H6" s="212">
        <f ca="1">'Forecast for Expenses'!O25</f>
        <v>8708.0580877484153</v>
      </c>
      <c r="I6" s="212">
        <f ca="1">'Forecast for Expenses'!P25</f>
        <v>9399.4448124867668</v>
      </c>
      <c r="J6" s="212">
        <f ca="1">'Forecast for Expenses'!Q25</f>
        <v>10059.23822736382</v>
      </c>
      <c r="K6" s="463">
        <f ca="1">'Forecast for Expenses'!R25</f>
        <v>10708.265057964709</v>
      </c>
      <c r="T6" s="462" t="s">
        <v>40</v>
      </c>
      <c r="U6" s="212">
        <f>'Forecast for Expenses'!B25</f>
        <v>1506</v>
      </c>
      <c r="V6" s="212">
        <f>'Forecast for Expenses'!C25</f>
        <v>1706</v>
      </c>
      <c r="W6" s="212">
        <f>'Forecast for Expenses'!D25</f>
        <v>2457</v>
      </c>
      <c r="X6" s="212">
        <f>'Forecast for Expenses'!E25</f>
        <v>788</v>
      </c>
      <c r="Y6" s="212">
        <f>'Forecast for Expenses'!F25</f>
        <v>844</v>
      </c>
      <c r="Z6" s="212">
        <f>'Forecast for Expenses'!G25</f>
        <v>858</v>
      </c>
      <c r="AA6" s="623">
        <f ca="1">'Forecast for Expenses'!H25</f>
        <v>883.20225131634095</v>
      </c>
      <c r="AB6" s="463">
        <f ca="1">'Forecast for Expenses'!I25</f>
        <v>3381.2832513163407</v>
      </c>
    </row>
    <row r="7" spans="2:28" ht="39" customHeight="1" thickBot="1">
      <c r="B7" s="511" t="s">
        <v>242</v>
      </c>
      <c r="C7" s="467">
        <f>'Forecast for Expenses'!J26</f>
        <v>7.96099558545207E-2</v>
      </c>
      <c r="D7" s="467">
        <f>'Forecast for Expenses'!K26</f>
        <v>7.5730745576806147E-2</v>
      </c>
      <c r="E7" s="467">
        <f>'Forecast for Expenses'!L26</f>
        <v>7.2040560305037138E-2</v>
      </c>
      <c r="F7" s="467">
        <f>'Forecast for Expenses'!M26</f>
        <v>6.8530189284881041E-2</v>
      </c>
      <c r="G7" s="467">
        <f>'Forecast for Expenses'!N26</f>
        <v>6.5190870580905919E-2</v>
      </c>
      <c r="H7" s="467">
        <f>'Forecast for Expenses'!O26</f>
        <v>6.20142692066665E-2</v>
      </c>
      <c r="I7" s="467">
        <f>'Forecast for Expenses'!P26</f>
        <v>5.8992456320460795E-2</v>
      </c>
      <c r="J7" s="467">
        <f>'Forecast for Expenses'!Q26</f>
        <v>5.6117889434829697E-2</v>
      </c>
      <c r="K7" s="468">
        <f>'Forecast for Expenses'!R26</f>
        <v>5.3383393590402235E-2</v>
      </c>
      <c r="T7" s="591" t="s">
        <v>242</v>
      </c>
      <c r="U7" s="610">
        <f>'Forecast for Expenses'!B26</f>
        <v>0.15803452855245684</v>
      </c>
      <c r="V7" s="610">
        <f>'Forecast for Expenses'!C26</f>
        <v>8.8511137162954279E-2</v>
      </c>
      <c r="W7" s="610">
        <f>'Forecast for Expenses'!D26</f>
        <v>9.808709808709809E-2</v>
      </c>
      <c r="X7" s="610">
        <f>'Forecast for Expenses'!E26</f>
        <v>8.8832487309644673E-2</v>
      </c>
      <c r="Y7" s="610">
        <f>'Forecast for Expenses'!F26</f>
        <v>8.5308056872037921E-2</v>
      </c>
      <c r="Z7" s="610">
        <f>'Forecast for Expenses'!G26</f>
        <v>7.6923076923076927E-2</v>
      </c>
      <c r="AA7" s="625">
        <f>'Forecast for Expenses'!H26</f>
        <v>8.3687873701586521E-2</v>
      </c>
      <c r="AB7" s="590">
        <f>'Forecast for Expenses'!I26</f>
        <v>8.3687873701586521E-2</v>
      </c>
    </row>
    <row r="8" spans="2:28" ht="16.899999999999999" customHeight="1" thickBot="1">
      <c r="B8" s="753" t="s">
        <v>247</v>
      </c>
      <c r="C8" s="748">
        <f>'Forecast for Expenses'!F31</f>
        <v>-4.8727702911975368E-2</v>
      </c>
      <c r="D8" s="748">
        <f>'Forecast for Expenses'!G31</f>
        <v>-4.8727702911975368E-2</v>
      </c>
      <c r="E8" s="748">
        <f>'Forecast for Expenses'!H31</f>
        <v>-4.8727702911975368E-2</v>
      </c>
      <c r="F8" s="748">
        <f>'Forecast for Expenses'!I31</f>
        <v>-4.8727702911975368E-2</v>
      </c>
      <c r="G8" s="748">
        <f>'Forecast for Expenses'!J31</f>
        <v>-4.8727702911975368E-2</v>
      </c>
      <c r="H8" s="748">
        <f>'Forecast for Expenses'!K31</f>
        <v>-4.8727702911975368E-2</v>
      </c>
      <c r="I8" s="748">
        <f>'Forecast for Expenses'!L31</f>
        <v>-4.8727702911975368E-2</v>
      </c>
      <c r="J8" s="748">
        <f>'Forecast for Expenses'!M31</f>
        <v>-4.8727702911975368E-2</v>
      </c>
      <c r="K8" s="749">
        <f>'Forecast for Expenses'!N31</f>
        <v>-4.8727702911975368E-2</v>
      </c>
      <c r="T8" s="91"/>
      <c r="U8" s="609"/>
      <c r="V8" s="609"/>
      <c r="W8" s="609"/>
      <c r="X8" s="609"/>
      <c r="Y8" s="609"/>
      <c r="Z8" s="609"/>
      <c r="AA8" s="609"/>
    </row>
    <row r="9" spans="2:28" ht="4.9000000000000004" customHeight="1" thickBot="1"/>
    <row r="10" spans="2:28" ht="15.75" thickBot="1">
      <c r="B10" s="720" t="s">
        <v>245</v>
      </c>
      <c r="C10" s="719">
        <f>'Forecast for Expenses'!Q29</f>
        <v>-4.8727702911975368E-2</v>
      </c>
    </row>
    <row r="11" spans="2:28" ht="15.75" thickBot="1"/>
    <row r="12" spans="2:28">
      <c r="B12" s="120" t="str">
        <f>Rates!A13</f>
        <v>GMV Growth</v>
      </c>
      <c r="C12" s="504" t="s">
        <v>23</v>
      </c>
      <c r="D12" s="504" t="s">
        <v>24</v>
      </c>
      <c r="E12" s="504" t="s">
        <v>25</v>
      </c>
      <c r="F12" s="504" t="s">
        <v>26</v>
      </c>
      <c r="G12" s="504" t="s">
        <v>27</v>
      </c>
      <c r="H12" s="504" t="s">
        <v>28</v>
      </c>
      <c r="I12" s="504" t="s">
        <v>29</v>
      </c>
      <c r="J12" s="506" t="s">
        <v>30</v>
      </c>
      <c r="K12" s="506" t="s">
        <v>31</v>
      </c>
      <c r="L12" s="506" t="s">
        <v>32</v>
      </c>
      <c r="M12" s="506" t="s">
        <v>33</v>
      </c>
      <c r="N12" s="506" t="s">
        <v>34</v>
      </c>
      <c r="O12" s="506" t="s">
        <v>35</v>
      </c>
      <c r="P12" s="506" t="s">
        <v>36</v>
      </c>
      <c r="Q12" s="506" t="s">
        <v>37</v>
      </c>
      <c r="R12" s="506" t="s">
        <v>38</v>
      </c>
      <c r="S12" s="507" t="s">
        <v>39</v>
      </c>
    </row>
    <row r="13" spans="2:28" ht="15.75" thickBot="1">
      <c r="B13" s="505" t="str">
        <f>Rates!A14</f>
        <v>Deliveries</v>
      </c>
      <c r="C13" s="466">
        <f>Rates!B14</f>
        <v>0</v>
      </c>
      <c r="D13" s="417">
        <f>Rates!C14</f>
        <v>0.85544621649134711</v>
      </c>
      <c r="E13" s="502">
        <f>Rates!D14</f>
        <v>0.55998536942209221</v>
      </c>
      <c r="F13" s="466">
        <f>Rates!E14</f>
        <v>0</v>
      </c>
      <c r="G13" s="466">
        <f>Rates!F14</f>
        <v>0</v>
      </c>
      <c r="H13" s="466">
        <f>Rates!G14</f>
        <v>0</v>
      </c>
      <c r="I13" s="503">
        <f>Rates!H14</f>
        <v>0</v>
      </c>
      <c r="J13" s="508">
        <f>Rates!I14</f>
        <v>9.8754340413816588E-2</v>
      </c>
      <c r="K13" s="509">
        <f>Rates!J14</f>
        <v>0.14958657923558644</v>
      </c>
      <c r="L13" s="509">
        <f>Rates!K14</f>
        <v>0.15153596611450154</v>
      </c>
      <c r="M13" s="509">
        <f>Rates!L14</f>
        <v>0.1432490255828785</v>
      </c>
      <c r="N13" s="509">
        <f>Rates!M14</f>
        <v>0.11131843759737518</v>
      </c>
      <c r="O13" s="509">
        <f>Rates!N14</f>
        <v>8.3922951623361289E-2</v>
      </c>
      <c r="P13" s="509">
        <f>Rates!O14</f>
        <v>6.853667581486117E-2</v>
      </c>
      <c r="Q13" s="509">
        <f>Rates!P14</f>
        <v>5.6117200388396578E-2</v>
      </c>
      <c r="R13" s="509">
        <f>Rates!Q14</f>
        <v>5.4178956435666281E-2</v>
      </c>
      <c r="S13" s="510">
        <f>Rates!R14</f>
        <v>4.9934000000000055E-2</v>
      </c>
    </row>
    <row r="14" spans="2:28" ht="15.75" thickBot="1"/>
    <row r="15" spans="2:28">
      <c r="B15" s="877" t="s">
        <v>257</v>
      </c>
      <c r="C15" s="878"/>
      <c r="D15" s="878"/>
      <c r="E15" s="878"/>
      <c r="F15" s="878"/>
      <c r="G15" s="878"/>
      <c r="H15" s="878"/>
      <c r="I15" s="878"/>
      <c r="J15" s="878"/>
      <c r="K15" s="879"/>
      <c r="T15" s="880" t="s">
        <v>257</v>
      </c>
      <c r="U15" s="881"/>
      <c r="V15" s="881"/>
      <c r="W15" s="881"/>
      <c r="X15" s="881"/>
      <c r="Y15" s="881"/>
      <c r="Z15" s="881"/>
      <c r="AA15" s="881"/>
      <c r="AB15" s="882"/>
    </row>
    <row r="16" spans="2:28">
      <c r="B16" s="460"/>
      <c r="C16" s="404" t="s">
        <v>217</v>
      </c>
      <c r="D16" s="404" t="s">
        <v>218</v>
      </c>
      <c r="E16" s="404" t="s">
        <v>219</v>
      </c>
      <c r="F16" s="404" t="s">
        <v>220</v>
      </c>
      <c r="G16" s="404" t="s">
        <v>221</v>
      </c>
      <c r="H16" s="404" t="s">
        <v>222</v>
      </c>
      <c r="I16" s="404" t="s">
        <v>223</v>
      </c>
      <c r="J16" s="404" t="s">
        <v>224</v>
      </c>
      <c r="K16" s="461" t="s">
        <v>225</v>
      </c>
      <c r="T16" s="460"/>
      <c r="U16" s="403" t="s">
        <v>209</v>
      </c>
      <c r="V16" s="403" t="s">
        <v>210</v>
      </c>
      <c r="W16" s="403" t="s">
        <v>211</v>
      </c>
      <c r="X16" s="403" t="s">
        <v>212</v>
      </c>
      <c r="Y16" s="403" t="s">
        <v>213</v>
      </c>
      <c r="Z16" s="403" t="s">
        <v>214</v>
      </c>
      <c r="AA16" s="622" t="s">
        <v>215</v>
      </c>
      <c r="AB16" s="461" t="s">
        <v>256</v>
      </c>
    </row>
    <row r="17" spans="2:28">
      <c r="B17" s="462" t="s">
        <v>226</v>
      </c>
      <c r="C17" s="212">
        <v>2401.8773691791866</v>
      </c>
      <c r="D17" s="212">
        <v>3512.0631914625915</v>
      </c>
      <c r="E17" s="212">
        <v>4887.8538053398233</v>
      </c>
      <c r="F17" s="212">
        <v>6063.740402826792</v>
      </c>
      <c r="G17" s="212">
        <v>7390.009471864475</v>
      </c>
      <c r="H17" s="212">
        <v>8766.4868924333914</v>
      </c>
      <c r="I17" s="212">
        <v>10133.997610905401</v>
      </c>
      <c r="J17" s="212">
        <v>11544.340055245779</v>
      </c>
      <c r="K17" s="463">
        <v>12972.961831715433</v>
      </c>
      <c r="T17" s="462" t="s">
        <v>226</v>
      </c>
      <c r="U17" s="212">
        <f>'Forecast for Expenses'!B42</f>
        <v>-845</v>
      </c>
      <c r="V17" s="212">
        <f>'Forecast for Expenses'!C42</f>
        <v>469</v>
      </c>
      <c r="W17" s="212">
        <f>'Forecast for Expenses'!D42</f>
        <v>675</v>
      </c>
      <c r="X17" s="212">
        <f>'Forecast for Expenses'!E42</f>
        <v>228</v>
      </c>
      <c r="Y17" s="212">
        <f>'Forecast for Expenses'!F42</f>
        <v>321</v>
      </c>
      <c r="Z17" s="212">
        <f>'Forecast for Expenses'!G42</f>
        <v>382</v>
      </c>
      <c r="AA17" s="623">
        <f ca="1">'Forecast for Expenses'!H42</f>
        <v>424.4546967833262</v>
      </c>
      <c r="AB17" s="463">
        <f ca="1">'Forecast for Expenses'!I42</f>
        <v>1355.4546967833262</v>
      </c>
    </row>
    <row r="18" spans="2:28" ht="18" customHeight="1">
      <c r="B18" s="462" t="s">
        <v>40</v>
      </c>
      <c r="C18" s="212">
        <v>5057.9520925715624</v>
      </c>
      <c r="D18" s="212">
        <v>6614.5507852027367</v>
      </c>
      <c r="E18" s="212">
        <v>8390.8983864383481</v>
      </c>
      <c r="F18" s="212">
        <v>9839.1229240087177</v>
      </c>
      <c r="G18" s="212">
        <v>11340.547677841187</v>
      </c>
      <c r="H18" s="212">
        <v>12784.982675602223</v>
      </c>
      <c r="I18" s="212">
        <v>14108.670007732117</v>
      </c>
      <c r="J18" s="212">
        <v>15402.677317033118</v>
      </c>
      <c r="K18" s="463">
        <v>16639.437475636365</v>
      </c>
      <c r="T18" s="462" t="s">
        <v>40</v>
      </c>
      <c r="U18" s="212">
        <f>'Forecast for Expenses'!B43</f>
        <v>1506</v>
      </c>
      <c r="V18" s="212">
        <f>'Forecast for Expenses'!C43</f>
        <v>1706</v>
      </c>
      <c r="W18" s="212">
        <f>'Forecast for Expenses'!D43</f>
        <v>2457</v>
      </c>
      <c r="X18" s="212">
        <f>'Forecast for Expenses'!E43</f>
        <v>788</v>
      </c>
      <c r="Y18" s="212">
        <f>'Forecast for Expenses'!F43</f>
        <v>844</v>
      </c>
      <c r="Z18" s="212">
        <f>'Forecast for Expenses'!G43</f>
        <v>858</v>
      </c>
      <c r="AA18" s="623">
        <f ca="1">'Forecast for Expenses'!H43</f>
        <v>883.20225131634095</v>
      </c>
      <c r="AB18" s="463">
        <f ca="1">'Forecast for Expenses'!I43</f>
        <v>3381.2832513163407</v>
      </c>
    </row>
    <row r="19" spans="2:28" ht="37.15" customHeight="1" thickBot="1">
      <c r="B19" s="511" t="s">
        <v>250</v>
      </c>
      <c r="C19" s="467">
        <f>'Forecast for Expenses'!J44</f>
        <v>0.18713620513054921</v>
      </c>
      <c r="D19" s="467">
        <f>'Forecast for Expenses'!K44</f>
        <v>0.18075274573078653</v>
      </c>
      <c r="E19" s="467">
        <f>'Forecast for Expenses'!L44</f>
        <v>0.17458703443529897</v>
      </c>
      <c r="F19" s="467">
        <f>'Forecast for Expenses'!M44</f>
        <v>0.16863164357298438</v>
      </c>
      <c r="G19" s="467">
        <f>'Forecast for Expenses'!N44</f>
        <v>0.16287939884026445</v>
      </c>
      <c r="H19" s="467">
        <f>'Forecast for Expenses'!O44</f>
        <v>0.15732337065838886</v>
      </c>
      <c r="I19" s="467">
        <f>'Forecast for Expenses'!P44</f>
        <v>0.15195686582555307</v>
      </c>
      <c r="J19" s="467">
        <f>'Forecast for Expenses'!Q44</f>
        <v>0.14677341945377317</v>
      </c>
      <c r="K19" s="468">
        <f>'Forecast for Expenses'!R44</f>
        <v>0.14176678718080446</v>
      </c>
      <c r="T19" s="591" t="s">
        <v>250</v>
      </c>
      <c r="U19" s="541">
        <f>'Forecast for Expenses'!B44</f>
        <v>0.20185922974767595</v>
      </c>
      <c r="V19" s="541">
        <f>'Forecast for Expenses'!C44</f>
        <v>0.1910902696365768</v>
      </c>
      <c r="W19" s="541">
        <f>'Forecast for Expenses'!D44</f>
        <v>0.22181522181522181</v>
      </c>
      <c r="X19" s="541">
        <f>'Forecast for Expenses'!E44</f>
        <v>0.21446700507614214</v>
      </c>
      <c r="Y19" s="541">
        <f>'Forecast for Expenses'!F44</f>
        <v>0.19194312796208532</v>
      </c>
      <c r="Z19" s="541">
        <f>'Forecast for Expenses'!G44</f>
        <v>0.17482517482517482</v>
      </c>
      <c r="AA19" s="624">
        <f>'Forecast for Expenses'!H44</f>
        <v>0.19374510262113409</v>
      </c>
      <c r="AB19" s="612">
        <f>'Forecast for Expenses'!I44</f>
        <v>0.19374510262113409</v>
      </c>
    </row>
    <row r="20" spans="2:28" ht="19.899999999999999" customHeight="1" thickBot="1">
      <c r="B20" s="753" t="s">
        <v>247</v>
      </c>
      <c r="C20" s="512">
        <f>'Forecast for Expenses'!F49</f>
        <v>-3.4111300885413809E-2</v>
      </c>
      <c r="D20" s="512">
        <f>'Forecast for Expenses'!G49</f>
        <v>-3.4111300885413809E-2</v>
      </c>
      <c r="E20" s="512">
        <f>'Forecast for Expenses'!H49</f>
        <v>-3.4111300885413809E-2</v>
      </c>
      <c r="F20" s="512">
        <f>'Forecast for Expenses'!I49</f>
        <v>-3.4111300885413809E-2</v>
      </c>
      <c r="G20" s="512">
        <f>'Forecast for Expenses'!J49</f>
        <v>-3.4111300885413809E-2</v>
      </c>
      <c r="H20" s="512">
        <f>'Forecast for Expenses'!K49</f>
        <v>-3.4111300885413809E-2</v>
      </c>
      <c r="I20" s="512">
        <f>'Forecast for Expenses'!L49</f>
        <v>-3.4111300885413809E-2</v>
      </c>
      <c r="J20" s="512">
        <f>'Forecast for Expenses'!M49</f>
        <v>-3.4111300885413809E-2</v>
      </c>
      <c r="K20" s="513">
        <f>'Forecast for Expenses'!N49</f>
        <v>-3.4111300885413809E-2</v>
      </c>
    </row>
    <row r="21" spans="2:28" ht="7.15" customHeight="1" thickBot="1"/>
    <row r="22" spans="2:28" ht="15.75" thickBot="1">
      <c r="B22" s="720" t="s">
        <v>245</v>
      </c>
      <c r="C22" s="719">
        <f>'Forecast for Expenses'!Q47</f>
        <v>-3.4111300885413809E-2</v>
      </c>
    </row>
    <row r="30" spans="2:28" ht="15.75" thickBot="1"/>
    <row r="31" spans="2:28">
      <c r="B31" s="877" t="s">
        <v>258</v>
      </c>
      <c r="C31" s="878"/>
      <c r="D31" s="878"/>
      <c r="E31" s="878"/>
      <c r="F31" s="878"/>
      <c r="G31" s="878"/>
      <c r="H31" s="878"/>
      <c r="I31" s="878"/>
      <c r="J31" s="878"/>
      <c r="K31" s="879"/>
      <c r="T31" s="880" t="s">
        <v>258</v>
      </c>
      <c r="U31" s="881"/>
      <c r="V31" s="881"/>
      <c r="W31" s="881"/>
      <c r="X31" s="881"/>
      <c r="Y31" s="881"/>
      <c r="Z31" s="881"/>
      <c r="AA31" s="881"/>
      <c r="AB31" s="882"/>
    </row>
    <row r="32" spans="2:28">
      <c r="B32" s="460"/>
      <c r="C32" s="404" t="s">
        <v>217</v>
      </c>
      <c r="D32" s="404" t="s">
        <v>218</v>
      </c>
      <c r="E32" s="404" t="s">
        <v>219</v>
      </c>
      <c r="F32" s="404" t="s">
        <v>220</v>
      </c>
      <c r="G32" s="404" t="s">
        <v>221</v>
      </c>
      <c r="H32" s="404" t="s">
        <v>222</v>
      </c>
      <c r="I32" s="404" t="s">
        <v>223</v>
      </c>
      <c r="J32" s="404" t="s">
        <v>224</v>
      </c>
      <c r="K32" s="461" t="s">
        <v>225</v>
      </c>
      <c r="T32" s="460"/>
      <c r="U32" s="403" t="s">
        <v>209</v>
      </c>
      <c r="V32" s="403" t="s">
        <v>210</v>
      </c>
      <c r="W32" s="403" t="s">
        <v>211</v>
      </c>
      <c r="X32" s="403" t="s">
        <v>212</v>
      </c>
      <c r="Y32" s="403" t="s">
        <v>213</v>
      </c>
      <c r="Z32" s="403" t="s">
        <v>214</v>
      </c>
      <c r="AA32" s="622" t="s">
        <v>215</v>
      </c>
      <c r="AB32" s="461" t="s">
        <v>256</v>
      </c>
    </row>
    <row r="33" spans="2:28">
      <c r="B33" s="462" t="s">
        <v>226</v>
      </c>
      <c r="C33" s="212">
        <f ca="1">'Forecast for Expenses'!J60</f>
        <v>2037.8143764956922</v>
      </c>
      <c r="D33" s="212">
        <f ca="1">'Forecast for Expenses'!K60</f>
        <v>2792.0736883025825</v>
      </c>
      <c r="E33" s="212">
        <f ca="1">'Forecast for Expenses'!L60</f>
        <v>3689.6745970427919</v>
      </c>
      <c r="F33" s="212">
        <f ca="1">'Forecast for Expenses'!M60</f>
        <v>4401.1135941032026</v>
      </c>
      <c r="G33" s="212">
        <f ca="1">'Forecast for Expenses'!N60</f>
        <v>5184.1077547570112</v>
      </c>
      <c r="H33" s="212">
        <f ca="1">'Forecast for Expenses'!O60</f>
        <v>5976.3811923875064</v>
      </c>
      <c r="I33" s="212">
        <f ca="1">'Forecast for Expenses'!P60</f>
        <v>6748.6268595394658</v>
      </c>
      <c r="J33" s="212">
        <f ca="1">'Forecast for Expenses'!Q60</f>
        <v>7528.5204092549993</v>
      </c>
      <c r="K33" s="463">
        <f ca="1">'Forecast for Expenses'!R60</f>
        <v>8333.9978824817517</v>
      </c>
      <c r="T33" s="462" t="s">
        <v>226</v>
      </c>
      <c r="U33" s="212">
        <f>'Forecast for Expenses'!B60</f>
        <v>-845</v>
      </c>
      <c r="V33" s="212">
        <f>'Forecast for Expenses'!C60</f>
        <v>469</v>
      </c>
      <c r="W33" s="212">
        <f>'Forecast for Expenses'!D60</f>
        <v>675</v>
      </c>
      <c r="X33" s="212">
        <f>'Forecast for Expenses'!E60</f>
        <v>228</v>
      </c>
      <c r="Y33" s="212">
        <f>'Forecast for Expenses'!F60</f>
        <v>321</v>
      </c>
      <c r="Z33" s="212">
        <f>'Forecast for Expenses'!G60</f>
        <v>382</v>
      </c>
      <c r="AA33" s="623">
        <f ca="1">'Forecast for Expenses'!H60</f>
        <v>424.4546967833262</v>
      </c>
      <c r="AB33" s="463">
        <f ca="1">'Forecast for Expenses'!I60</f>
        <v>1355.4546967833262</v>
      </c>
    </row>
    <row r="34" spans="2:28">
      <c r="B34" s="462" t="s">
        <v>40</v>
      </c>
      <c r="C34" s="212">
        <f ca="1">'Forecast for Expenses'!J61</f>
        <v>4268.0020856347837</v>
      </c>
      <c r="D34" s="212">
        <f ca="1">'Forecast for Expenses'!K61</f>
        <v>5224.9939632893347</v>
      </c>
      <c r="E34" s="212">
        <f ca="1">'Forecast for Expenses'!L61</f>
        <v>6302.1616785357264</v>
      </c>
      <c r="F34" s="212">
        <f ca="1">'Forecast for Expenses'!M61</f>
        <v>7112.0101484289644</v>
      </c>
      <c r="G34" s="212">
        <f ca="1">'Forecast for Expenses'!N61</f>
        <v>7936.1614204808502</v>
      </c>
      <c r="H34" s="212">
        <f ca="1">'Forecast for Expenses'!O61</f>
        <v>8708.0580877484153</v>
      </c>
      <c r="I34" s="212">
        <f ca="1">'Forecast for Expenses'!P61</f>
        <v>9399.4448124867668</v>
      </c>
      <c r="J34" s="212">
        <f ca="1">'Forecast for Expenses'!Q61</f>
        <v>10059.23822736382</v>
      </c>
      <c r="K34" s="463">
        <f ca="1">'Forecast for Expenses'!R61</f>
        <v>10708.265057964709</v>
      </c>
      <c r="T34" s="462" t="s">
        <v>40</v>
      </c>
      <c r="U34" s="212">
        <f>'Forecast for Expenses'!B61</f>
        <v>1506</v>
      </c>
      <c r="V34" s="212">
        <f>'Forecast for Expenses'!C61</f>
        <v>1706</v>
      </c>
      <c r="W34" s="212">
        <f>'Forecast for Expenses'!D61</f>
        <v>2457</v>
      </c>
      <c r="X34" s="212">
        <f>'Forecast for Expenses'!E61</f>
        <v>788</v>
      </c>
      <c r="Y34" s="212">
        <f>'Forecast for Expenses'!F61</f>
        <v>844</v>
      </c>
      <c r="Z34" s="212">
        <f>'Forecast for Expenses'!G61</f>
        <v>858</v>
      </c>
      <c r="AA34" s="623">
        <f ca="1">'Forecast for Expenses'!H61</f>
        <v>883.20225131634095</v>
      </c>
      <c r="AB34" s="463">
        <f ca="1">'Forecast for Expenses'!I61</f>
        <v>3381.2832513163407</v>
      </c>
    </row>
    <row r="35" spans="2:28" ht="60.75" thickBot="1">
      <c r="B35" s="462" t="s">
        <v>259</v>
      </c>
      <c r="C35" s="209">
        <f>'Forecast for Expenses'!J62</f>
        <v>0.13734140349864127</v>
      </c>
      <c r="D35" s="209">
        <f>'Forecast for Expenses'!K62</f>
        <v>0.13172915002539903</v>
      </c>
      <c r="E35" s="209">
        <f>'Forecast for Expenses'!L62</f>
        <v>0.12634623299583334</v>
      </c>
      <c r="F35" s="209">
        <f>'Forecast for Expenses'!M62</f>
        <v>0.12118328091511608</v>
      </c>
      <c r="G35" s="209">
        <f>'Forecast for Expenses'!N62</f>
        <v>0.116231305240705</v>
      </c>
      <c r="H35" s="209">
        <f>'Forecast for Expenses'!O62</f>
        <v>0.11148168473356436</v>
      </c>
      <c r="I35" s="209">
        <f>'Forecast for Expenses'!P62</f>
        <v>0.10692615044885005</v>
      </c>
      <c r="J35" s="209">
        <f>'Forecast for Expenses'!Q62</f>
        <v>0.10255677133992813</v>
      </c>
      <c r="K35" s="464">
        <f>'Forecast for Expenses'!R62</f>
        <v>9.8365940450663811E-2</v>
      </c>
      <c r="T35" s="591" t="s">
        <v>259</v>
      </c>
      <c r="U35" s="541">
        <f>'Forecast for Expenses'!B62</f>
        <v>0.15338645418326693</v>
      </c>
      <c r="V35" s="541">
        <f>'Forecast for Expenses'!C62</f>
        <v>0.15064478311840562</v>
      </c>
      <c r="W35" s="541">
        <f>'Forecast for Expenses'!D62</f>
        <v>0.14489214489214489</v>
      </c>
      <c r="X35" s="541">
        <f>'Forecast for Expenses'!E62</f>
        <v>0.15101522842639595</v>
      </c>
      <c r="Y35" s="541">
        <f>'Forecast for Expenses'!F62</f>
        <v>0.14336492890995262</v>
      </c>
      <c r="Z35" s="541">
        <f>'Forecast for Expenses'!G62</f>
        <v>0.1351981351981352</v>
      </c>
      <c r="AA35" s="624">
        <f>'Forecast for Expenses'!H62</f>
        <v>0.14319276417816126</v>
      </c>
      <c r="AB35" s="612">
        <f>'Forecast for Expenses'!I62</f>
        <v>0.14319276417816126</v>
      </c>
    </row>
    <row r="36" spans="2:28" ht="15.75" thickBot="1">
      <c r="B36" s="514" t="s">
        <v>247</v>
      </c>
      <c r="C36" s="515">
        <f>'Forecast for Expenses'!F67</f>
        <v>-4.0863522071825531E-2</v>
      </c>
      <c r="D36" s="515">
        <f>'Forecast for Expenses'!G67</f>
        <v>-4.0863522071825531E-2</v>
      </c>
      <c r="E36" s="515">
        <f>'Forecast for Expenses'!H67</f>
        <v>-4.0863522071825531E-2</v>
      </c>
      <c r="F36" s="515">
        <f>'Forecast for Expenses'!I67</f>
        <v>-4.0863522071825531E-2</v>
      </c>
      <c r="G36" s="515">
        <f>'Forecast for Expenses'!J67</f>
        <v>-4.0863522071825531E-2</v>
      </c>
      <c r="H36" s="515">
        <f>'Forecast for Expenses'!K67</f>
        <v>-4.0863522071825531E-2</v>
      </c>
      <c r="I36" s="515">
        <f>'Forecast for Expenses'!L67</f>
        <v>-4.0863522071825531E-2</v>
      </c>
      <c r="J36" s="515">
        <f>'Forecast for Expenses'!M67</f>
        <v>-4.0863522071825531E-2</v>
      </c>
      <c r="K36" s="516">
        <f>'Forecast for Expenses'!N67</f>
        <v>-4.0863522071825531E-2</v>
      </c>
    </row>
    <row r="37" spans="2:28" ht="7.15" customHeight="1" thickBot="1"/>
    <row r="38" spans="2:28" ht="15.75" thickBot="1">
      <c r="B38" s="720" t="s">
        <v>245</v>
      </c>
      <c r="C38" s="719">
        <f>'Forecast for Expenses'!Q65</f>
        <v>-4.0863522071825531E-2</v>
      </c>
    </row>
    <row r="40" spans="2:28" ht="15.75" thickBot="1"/>
    <row r="41" spans="2:28">
      <c r="B41" s="877" t="s">
        <v>258</v>
      </c>
      <c r="C41" s="878"/>
      <c r="D41" s="878"/>
      <c r="E41" s="878"/>
      <c r="F41" s="878"/>
      <c r="G41" s="878"/>
      <c r="H41" s="878"/>
      <c r="I41" s="879"/>
    </row>
    <row r="42" spans="2:28">
      <c r="B42" s="460"/>
      <c r="C42" s="403" t="str">
        <f>'Forecast for Expenses'!B59</f>
        <v>FY19</v>
      </c>
      <c r="D42" s="403" t="str">
        <f>'Forecast for Expenses'!C59</f>
        <v>FY20</v>
      </c>
      <c r="E42" s="403" t="str">
        <f>'Forecast for Expenses'!D59</f>
        <v>FY21</v>
      </c>
      <c r="F42" s="403" t="str">
        <f>'Forecast for Expenses'!E59</f>
        <v>Q1FY22</v>
      </c>
      <c r="G42" s="403" t="str">
        <f>'Forecast for Expenses'!F59</f>
        <v>Q2FY22</v>
      </c>
      <c r="H42" s="403" t="str">
        <f>'Forecast for Expenses'!G59</f>
        <v>Q3FY22</v>
      </c>
      <c r="I42" s="461" t="str">
        <f>'Forecast for Expenses'!H59</f>
        <v>Q4FY22</v>
      </c>
    </row>
    <row r="43" spans="2:28">
      <c r="B43" s="460" t="str">
        <f>'Forecast for Expenses'!A60</f>
        <v>Net Revenue</v>
      </c>
      <c r="C43" s="212">
        <f>'Forecast for Expenses'!B60</f>
        <v>-845</v>
      </c>
      <c r="D43" s="212">
        <f>'Forecast for Expenses'!C60</f>
        <v>469</v>
      </c>
      <c r="E43" s="212">
        <f>'Forecast for Expenses'!D60</f>
        <v>675</v>
      </c>
      <c r="F43" s="212">
        <f>'Forecast for Expenses'!E60</f>
        <v>228</v>
      </c>
      <c r="G43" s="212">
        <f>'Forecast for Expenses'!F60</f>
        <v>321</v>
      </c>
      <c r="H43" s="212">
        <f>'Forecast for Expenses'!G60</f>
        <v>382</v>
      </c>
      <c r="I43" s="463">
        <f ca="1">'Forecast for Expenses'!H60</f>
        <v>424.4546967833262</v>
      </c>
    </row>
    <row r="44" spans="2:28">
      <c r="B44" s="460" t="str">
        <f>'Forecast for Expenses'!A61</f>
        <v>Gross Revenue</v>
      </c>
      <c r="C44" s="212">
        <f>'Forecast for Expenses'!B61</f>
        <v>1506</v>
      </c>
      <c r="D44" s="212">
        <f>'Forecast for Expenses'!C61</f>
        <v>1706</v>
      </c>
      <c r="E44" s="212">
        <f>'Forecast for Expenses'!D61</f>
        <v>2457</v>
      </c>
      <c r="F44" s="212">
        <f>'Forecast for Expenses'!E61</f>
        <v>788</v>
      </c>
      <c r="G44" s="212">
        <f>'Forecast for Expenses'!F61</f>
        <v>844</v>
      </c>
      <c r="H44" s="212">
        <f>'Forecast for Expenses'!G61</f>
        <v>858</v>
      </c>
      <c r="I44" s="463">
        <f ca="1">'Forecast for Expenses'!H61</f>
        <v>883.20225131634095</v>
      </c>
    </row>
    <row r="45" spans="2:28" ht="60.75" thickBot="1">
      <c r="B45" s="591" t="s">
        <v>259</v>
      </c>
      <c r="C45" s="542">
        <f>'Forecast for Expenses'!B62</f>
        <v>0.15338645418326693</v>
      </c>
      <c r="D45" s="542">
        <f>'Forecast for Expenses'!C62</f>
        <v>0.15064478311840562</v>
      </c>
      <c r="E45" s="542">
        <f>'Forecast for Expenses'!D62</f>
        <v>0.14489214489214489</v>
      </c>
      <c r="F45" s="542">
        <f>'Forecast for Expenses'!E62</f>
        <v>0.15101522842639595</v>
      </c>
      <c r="G45" s="542">
        <f>'Forecast for Expenses'!F62</f>
        <v>0.14336492890995262</v>
      </c>
      <c r="H45" s="542">
        <f>'Forecast for Expenses'!G62</f>
        <v>0.1351981351981352</v>
      </c>
      <c r="I45" s="590">
        <f>'Forecast for Expenses'!H62</f>
        <v>0.14319276417816126</v>
      </c>
    </row>
    <row r="47" spans="2:28">
      <c r="C47" s="405" t="str">
        <f>'Forecast for Expenses'!C65</f>
        <v>FY20</v>
      </c>
      <c r="D47" s="405" t="str">
        <f>'Forecast for Expenses'!D65</f>
        <v>FY21</v>
      </c>
      <c r="E47" s="595" t="str">
        <f>'Forecast for Expenses'!E65</f>
        <v>FY22F</v>
      </c>
    </row>
    <row r="48" spans="2:28" ht="30">
      <c r="B48" s="593" t="str">
        <f>'Forecast for Expenses'!A66</f>
        <v>YoY % Growth of R&amp;D</v>
      </c>
      <c r="C48" s="592">
        <f>'Forecast for Expenses'!C66</f>
        <v>-1.7874271098186734E-2</v>
      </c>
      <c r="D48" s="401">
        <f>'Forecast for Expenses'!D66</f>
        <v>-3.8186773595333956E-2</v>
      </c>
      <c r="E48" s="401">
        <f>'Forecast for Expenses'!E66</f>
        <v>-1.1728591051285875E-2</v>
      </c>
    </row>
    <row r="49" spans="2:12" ht="7.9" customHeight="1">
      <c r="D49" s="20"/>
      <c r="E49" s="20"/>
    </row>
    <row r="50" spans="2:12" ht="45">
      <c r="B50" s="594" t="str">
        <f>'Forecast for Expenses'!A67</f>
        <v>Average YoY Growth over 3 Periods</v>
      </c>
      <c r="C50" s="402">
        <f>'Forecast for Expenses'!E67</f>
        <v>-2.2596545248268856E-2</v>
      </c>
    </row>
    <row r="51" spans="2:12" ht="15.75" thickBot="1"/>
    <row r="52" spans="2:12">
      <c r="B52" s="702" t="s">
        <v>260</v>
      </c>
      <c r="C52" s="703"/>
      <c r="D52" s="703"/>
      <c r="E52" s="703"/>
      <c r="F52" s="703"/>
      <c r="G52" s="703"/>
      <c r="H52" s="703"/>
      <c r="I52" s="703"/>
      <c r="J52" s="703"/>
      <c r="K52" s="703"/>
      <c r="L52" s="704"/>
    </row>
    <row r="53" spans="2:12">
      <c r="B53" s="9"/>
      <c r="C53" s="23" t="s">
        <v>30</v>
      </c>
      <c r="D53" s="23" t="s">
        <v>31</v>
      </c>
      <c r="E53" s="23" t="s">
        <v>32</v>
      </c>
      <c r="F53" s="23" t="s">
        <v>33</v>
      </c>
      <c r="G53" s="23" t="s">
        <v>34</v>
      </c>
      <c r="H53" s="23" t="s">
        <v>35</v>
      </c>
      <c r="I53" s="23" t="s">
        <v>36</v>
      </c>
      <c r="J53" s="23" t="s">
        <v>37</v>
      </c>
      <c r="K53" s="23" t="s">
        <v>38</v>
      </c>
      <c r="L53" s="707" t="s">
        <v>39</v>
      </c>
    </row>
    <row r="54" spans="2:12">
      <c r="B54" s="432" t="s">
        <v>139</v>
      </c>
      <c r="C54" s="423">
        <f>Rates!I66/Rates!I20</f>
        <v>5.9999999999999984E-2</v>
      </c>
      <c r="D54" s="423">
        <f>Rates!J66/Rates!J20</f>
        <v>8.0000000000000016E-2</v>
      </c>
      <c r="E54" s="423">
        <f>Rates!K66/Rates!K20</f>
        <v>0.10000000000000006</v>
      </c>
      <c r="F54" s="423">
        <f>Rates!L66/Rates!L20</f>
        <v>0.12000000000000004</v>
      </c>
      <c r="G54" s="423">
        <f>Rates!M66/Rates!M20</f>
        <v>0.13000000000000003</v>
      </c>
      <c r="H54" s="423">
        <f>Rates!N66/Rates!N20</f>
        <v>0.14000000000000001</v>
      </c>
      <c r="I54" s="423">
        <f>Rates!O66/Rates!O20</f>
        <v>0.14999999999999997</v>
      </c>
      <c r="J54" s="423">
        <f>Rates!P66/Rates!P20</f>
        <v>0.16</v>
      </c>
      <c r="K54" s="423">
        <f>Rates!Q66/Rates!Q20</f>
        <v>0.17</v>
      </c>
      <c r="L54" s="435">
        <f>Rates!R66/Rates!R20</f>
        <v>0.18000000000000002</v>
      </c>
    </row>
    <row r="55" spans="2:12" ht="15.75" thickBot="1">
      <c r="B55" s="465" t="s">
        <v>140</v>
      </c>
      <c r="C55" s="705">
        <f>Rates!I67/Rates!I21</f>
        <v>0.15993767872389716</v>
      </c>
      <c r="D55" s="705">
        <f>Rates!J67/Rates!J21</f>
        <v>0.17493767872389718</v>
      </c>
      <c r="E55" s="705">
        <f>Rates!K67/Rates!K21</f>
        <v>0.18993767872389716</v>
      </c>
      <c r="F55" s="705">
        <f>Rates!L67/Rates!L21</f>
        <v>0.20493767872389723</v>
      </c>
      <c r="G55" s="705">
        <f>Rates!M67/Rates!M21</f>
        <v>0.20993767872389721</v>
      </c>
      <c r="H55" s="705">
        <f>Rates!N67/Rates!N21</f>
        <v>0.21493767872389719</v>
      </c>
      <c r="I55" s="705">
        <f>Rates!O67/Rates!O21</f>
        <v>0.21993767872389719</v>
      </c>
      <c r="J55" s="705">
        <f>Rates!P67/Rates!P21</f>
        <v>0.22493767872389719</v>
      </c>
      <c r="K55" s="705">
        <f>Rates!Q67/Rates!Q21</f>
        <v>0.22993767872389714</v>
      </c>
      <c r="L55" s="706">
        <f>Rates!R67/Rates!R21</f>
        <v>0.23493767872389715</v>
      </c>
    </row>
  </sheetData>
  <mergeCells count="8">
    <mergeCell ref="B41:I41"/>
    <mergeCell ref="T3:AB3"/>
    <mergeCell ref="T15:AB15"/>
    <mergeCell ref="T31:AB31"/>
    <mergeCell ref="B3:K3"/>
    <mergeCell ref="N4:O5"/>
    <mergeCell ref="B15:K15"/>
    <mergeCell ref="B31:K3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A785-28DE-4953-A781-0812968AC6FF}">
  <sheetPr codeName="Sheet7"/>
  <dimension ref="B1:U35"/>
  <sheetViews>
    <sheetView showGridLines="0" workbookViewId="0">
      <selection activeCell="F18" sqref="F18"/>
    </sheetView>
  </sheetViews>
  <sheetFormatPr defaultColWidth="8.7109375" defaultRowHeight="15"/>
  <cols>
    <col min="1" max="1" width="2.7109375" customWidth="1"/>
    <col min="2" max="2" width="14.42578125" customWidth="1"/>
    <col min="3" max="3" width="14" customWidth="1"/>
    <col min="4" max="4" width="15.140625" customWidth="1"/>
    <col min="5" max="5" width="14.140625" customWidth="1"/>
    <col min="6" max="6" width="20.42578125" customWidth="1"/>
    <col min="7" max="7" width="16.42578125" customWidth="1"/>
    <col min="8" max="8" width="6.7109375" customWidth="1"/>
    <col min="9" max="9" width="9.42578125" bestFit="1" customWidth="1"/>
    <col min="10" max="18" width="6.7109375" customWidth="1"/>
    <col min="19" max="19" width="3.7109375" customWidth="1"/>
  </cols>
  <sheetData>
    <row r="1" spans="2:21">
      <c r="B1" s="234"/>
      <c r="C1" s="234"/>
      <c r="D1" s="234"/>
      <c r="E1" s="234"/>
      <c r="F1" s="234"/>
      <c r="G1" s="234"/>
      <c r="H1" s="234"/>
      <c r="I1" s="234"/>
      <c r="J1" s="234"/>
      <c r="K1" s="234"/>
      <c r="L1" s="234"/>
      <c r="M1" s="234"/>
      <c r="N1" s="234"/>
      <c r="O1" s="234"/>
      <c r="P1" s="234"/>
      <c r="Q1" s="234"/>
      <c r="R1" s="234"/>
    </row>
    <row r="2" spans="2:21" ht="15.75" thickBot="1">
      <c r="I2" s="234"/>
      <c r="J2" s="235"/>
      <c r="K2" s="235"/>
      <c r="L2" s="235"/>
      <c r="M2" s="235"/>
      <c r="N2" s="235"/>
      <c r="O2" s="235"/>
      <c r="P2" s="235"/>
      <c r="Q2" s="235"/>
      <c r="R2" s="235"/>
    </row>
    <row r="3" spans="2:21" ht="15.75" thickBot="1">
      <c r="H3" s="679" t="s">
        <v>261</v>
      </c>
      <c r="I3" s="686">
        <f>(R13/H13)^(1/10) -1</f>
        <v>0.23719572355014851</v>
      </c>
      <c r="K3" s="234"/>
      <c r="L3" s="234"/>
      <c r="M3" s="234"/>
      <c r="N3" s="234"/>
      <c r="O3" s="234"/>
      <c r="P3" s="234"/>
      <c r="Q3" s="234"/>
      <c r="R3" s="234"/>
    </row>
    <row r="4" spans="2:21" ht="15.75" thickBot="1">
      <c r="D4" s="234"/>
      <c r="F4" s="234"/>
      <c r="G4" s="234"/>
      <c r="H4" s="234"/>
      <c r="K4" s="234"/>
      <c r="L4" s="234"/>
      <c r="M4" s="234"/>
      <c r="P4" s="234"/>
    </row>
    <row r="5" spans="2:21" ht="15.75" thickBot="1">
      <c r="B5" s="888" t="s">
        <v>262</v>
      </c>
      <c r="C5" s="889"/>
      <c r="D5" s="889"/>
      <c r="E5" s="889"/>
      <c r="F5" s="889"/>
      <c r="G5" s="889"/>
      <c r="H5" s="889"/>
      <c r="I5" s="889"/>
      <c r="J5" s="889"/>
      <c r="K5" s="889"/>
      <c r="L5" s="889"/>
      <c r="M5" s="889"/>
      <c r="N5" s="889"/>
      <c r="O5" s="889"/>
      <c r="P5" s="889"/>
      <c r="Q5" s="889"/>
      <c r="R5" s="890"/>
    </row>
    <row r="6" spans="2:21">
      <c r="B6" s="685"/>
      <c r="C6" s="471" t="s">
        <v>263</v>
      </c>
      <c r="D6" s="471" t="s">
        <v>264</v>
      </c>
      <c r="E6" s="471" t="s">
        <v>265</v>
      </c>
      <c r="F6" s="471" t="s">
        <v>266</v>
      </c>
      <c r="G6" s="471" t="s">
        <v>267</v>
      </c>
      <c r="H6" s="723" t="s">
        <v>25</v>
      </c>
      <c r="I6" s="724" t="s">
        <v>30</v>
      </c>
      <c r="J6" s="724" t="s">
        <v>31</v>
      </c>
      <c r="K6" s="724" t="s">
        <v>32</v>
      </c>
      <c r="L6" s="724" t="s">
        <v>33</v>
      </c>
      <c r="M6" s="724" t="s">
        <v>34</v>
      </c>
      <c r="N6" s="724" t="s">
        <v>35</v>
      </c>
      <c r="O6" s="724" t="s">
        <v>36</v>
      </c>
      <c r="P6" s="724" t="s">
        <v>37</v>
      </c>
      <c r="Q6" s="724" t="s">
        <v>38</v>
      </c>
      <c r="R6" s="725" t="s">
        <v>39</v>
      </c>
    </row>
    <row r="7" spans="2:21">
      <c r="B7" s="676" t="s">
        <v>268</v>
      </c>
      <c r="C7" s="677" t="s">
        <v>269</v>
      </c>
      <c r="D7" s="678" t="s">
        <v>270</v>
      </c>
      <c r="E7" s="678" t="s">
        <v>271</v>
      </c>
      <c r="F7" s="678" t="s">
        <v>272</v>
      </c>
      <c r="G7" s="678" t="s">
        <v>273</v>
      </c>
      <c r="H7" s="726">
        <v>854.2</v>
      </c>
      <c r="I7" s="727">
        <v>1372.5</v>
      </c>
      <c r="J7" s="728">
        <v>2354.3000000000002</v>
      </c>
      <c r="K7" s="728">
        <v>3299.2</v>
      </c>
      <c r="L7" s="728">
        <v>4365.7</v>
      </c>
      <c r="M7" s="728">
        <v>5206.2</v>
      </c>
      <c r="N7" s="728">
        <v>6423.9</v>
      </c>
      <c r="O7" s="728">
        <v>7580.5</v>
      </c>
      <c r="P7" s="728">
        <v>8598.6</v>
      </c>
      <c r="Q7" s="728">
        <v>9511.7999999999993</v>
      </c>
      <c r="R7" s="729">
        <v>10377.5</v>
      </c>
    </row>
    <row r="8" spans="2:21">
      <c r="B8" s="676" t="s">
        <v>274</v>
      </c>
      <c r="C8" s="677" t="s">
        <v>269</v>
      </c>
      <c r="D8" s="678" t="s">
        <v>270</v>
      </c>
      <c r="E8" s="678" t="s">
        <v>271</v>
      </c>
      <c r="F8" s="678" t="s">
        <v>272</v>
      </c>
      <c r="G8" s="678" t="s">
        <v>273</v>
      </c>
      <c r="H8" s="726">
        <v>380.5</v>
      </c>
      <c r="I8" s="727">
        <v>602.4</v>
      </c>
      <c r="J8" s="728">
        <v>951.9</v>
      </c>
      <c r="K8" s="728">
        <v>1230.9000000000001</v>
      </c>
      <c r="L8" s="728">
        <v>1517</v>
      </c>
      <c r="M8" s="728">
        <v>1805.2</v>
      </c>
      <c r="N8" s="728">
        <v>2123.1999999999998</v>
      </c>
      <c r="O8" s="728">
        <v>2434.9</v>
      </c>
      <c r="P8" s="728">
        <v>2720.5</v>
      </c>
      <c r="Q8" s="728">
        <v>2977.9</v>
      </c>
      <c r="R8" s="729">
        <v>3229.4</v>
      </c>
    </row>
    <row r="9" spans="2:21">
      <c r="B9" s="676" t="s">
        <v>275</v>
      </c>
      <c r="C9" s="677" t="s">
        <v>269</v>
      </c>
      <c r="D9" s="678" t="s">
        <v>270</v>
      </c>
      <c r="E9" s="678" t="s">
        <v>271</v>
      </c>
      <c r="F9" s="678" t="s">
        <v>272</v>
      </c>
      <c r="G9" s="678" t="s">
        <v>273</v>
      </c>
      <c r="H9" s="726">
        <v>173.4</v>
      </c>
      <c r="I9" s="727">
        <v>276.39999999999998</v>
      </c>
      <c r="J9" s="728">
        <v>369.2</v>
      </c>
      <c r="K9" s="728">
        <v>518.6</v>
      </c>
      <c r="L9" s="728">
        <v>703.9</v>
      </c>
      <c r="M9" s="728">
        <v>840.6</v>
      </c>
      <c r="N9" s="728">
        <v>1039</v>
      </c>
      <c r="O9" s="728">
        <v>1232.8</v>
      </c>
      <c r="P9" s="728">
        <v>1410.3</v>
      </c>
      <c r="Q9" s="728">
        <v>1579.9</v>
      </c>
      <c r="R9" s="729">
        <v>1749.2</v>
      </c>
    </row>
    <row r="10" spans="2:21">
      <c r="B10" s="676" t="s">
        <v>276</v>
      </c>
      <c r="C10" s="677" t="s">
        <v>269</v>
      </c>
      <c r="D10" s="678" t="s">
        <v>270</v>
      </c>
      <c r="E10" s="678" t="s">
        <v>271</v>
      </c>
      <c r="F10" s="678" t="s">
        <v>272</v>
      </c>
      <c r="G10" s="678" t="s">
        <v>273</v>
      </c>
      <c r="H10" s="726">
        <v>1735.4</v>
      </c>
      <c r="I10" s="727">
        <v>2534.5</v>
      </c>
      <c r="J10" s="728">
        <v>3208.3</v>
      </c>
      <c r="K10" s="728">
        <v>3768.1</v>
      </c>
      <c r="L10" s="728">
        <v>4296</v>
      </c>
      <c r="M10" s="728">
        <v>4782.8</v>
      </c>
      <c r="N10" s="728">
        <v>5331.2</v>
      </c>
      <c r="O10" s="728">
        <v>5829</v>
      </c>
      <c r="P10" s="728">
        <v>6270.7</v>
      </c>
      <c r="Q10" s="728">
        <v>6666.1</v>
      </c>
      <c r="R10" s="729">
        <v>7046.5</v>
      </c>
    </row>
    <row r="11" spans="2:21">
      <c r="B11" s="676" t="s">
        <v>277</v>
      </c>
      <c r="C11" s="677" t="s">
        <v>269</v>
      </c>
      <c r="D11" s="678" t="s">
        <v>270</v>
      </c>
      <c r="E11" s="678" t="s">
        <v>271</v>
      </c>
      <c r="F11" s="678" t="s">
        <v>272</v>
      </c>
      <c r="G11" s="678" t="s">
        <v>273</v>
      </c>
      <c r="H11" s="726">
        <v>232.6</v>
      </c>
      <c r="I11" s="727">
        <v>350.1</v>
      </c>
      <c r="J11" s="728">
        <v>687</v>
      </c>
      <c r="K11" s="728">
        <v>1019.8</v>
      </c>
      <c r="L11" s="728">
        <v>1495.8</v>
      </c>
      <c r="M11" s="728">
        <v>2098.1</v>
      </c>
      <c r="N11" s="728">
        <v>2766.9</v>
      </c>
      <c r="O11" s="728">
        <v>3476.5</v>
      </c>
      <c r="P11" s="728">
        <v>4086.7</v>
      </c>
      <c r="Q11" s="728">
        <v>4548.6000000000004</v>
      </c>
      <c r="R11" s="729">
        <v>4973.5</v>
      </c>
      <c r="T11" s="238" t="s">
        <v>278</v>
      </c>
      <c r="U11" s="238"/>
    </row>
    <row r="12" spans="2:21">
      <c r="B12" s="676" t="s">
        <v>279</v>
      </c>
      <c r="C12" s="677" t="s">
        <v>269</v>
      </c>
      <c r="D12" s="678" t="s">
        <v>270</v>
      </c>
      <c r="E12" s="678" t="s">
        <v>271</v>
      </c>
      <c r="F12" s="678" t="s">
        <v>272</v>
      </c>
      <c r="G12" s="678" t="s">
        <v>273</v>
      </c>
      <c r="H12" s="726">
        <v>441.3</v>
      </c>
      <c r="I12" s="727">
        <v>662.3</v>
      </c>
      <c r="J12" s="728">
        <v>1003.3</v>
      </c>
      <c r="K12" s="728">
        <v>1369.4</v>
      </c>
      <c r="L12" s="728">
        <v>1772.3</v>
      </c>
      <c r="M12" s="728">
        <v>2210.9</v>
      </c>
      <c r="N12" s="728">
        <v>2746.8</v>
      </c>
      <c r="O12" s="728">
        <v>3279.2</v>
      </c>
      <c r="P12" s="728">
        <v>3783.2</v>
      </c>
      <c r="Q12" s="728">
        <v>4241.5</v>
      </c>
      <c r="R12" s="729">
        <v>4697.8</v>
      </c>
    </row>
    <row r="13" spans="2:21" ht="28.9" customHeight="1">
      <c r="B13" s="884" t="s">
        <v>280</v>
      </c>
      <c r="C13" s="885"/>
      <c r="D13" s="885"/>
      <c r="E13" s="885"/>
      <c r="F13" s="885"/>
      <c r="G13" s="885"/>
      <c r="H13" s="730">
        <f t="shared" ref="H13:R13" si="0">SUM(H7:H12)</f>
        <v>3817.4</v>
      </c>
      <c r="I13" s="731">
        <f t="shared" si="0"/>
        <v>5798.2000000000007</v>
      </c>
      <c r="J13" s="731">
        <f t="shared" si="0"/>
        <v>8574</v>
      </c>
      <c r="K13" s="731">
        <f t="shared" si="0"/>
        <v>11206</v>
      </c>
      <c r="L13" s="731">
        <f t="shared" si="0"/>
        <v>14150.699999999997</v>
      </c>
      <c r="M13" s="731">
        <f t="shared" si="0"/>
        <v>16943.8</v>
      </c>
      <c r="N13" s="731">
        <f t="shared" si="0"/>
        <v>20431</v>
      </c>
      <c r="O13" s="731">
        <f t="shared" si="0"/>
        <v>23832.899999999998</v>
      </c>
      <c r="P13" s="731">
        <f t="shared" si="0"/>
        <v>26870</v>
      </c>
      <c r="Q13" s="731">
        <f t="shared" si="0"/>
        <v>29525.799999999996</v>
      </c>
      <c r="R13" s="732">
        <f t="shared" si="0"/>
        <v>32073.899999999998</v>
      </c>
    </row>
    <row r="14" spans="2:21" ht="28.9" customHeight="1">
      <c r="B14" s="891" t="s">
        <v>281</v>
      </c>
      <c r="C14" s="892"/>
      <c r="D14" s="892"/>
      <c r="E14" s="892"/>
      <c r="F14" s="892"/>
      <c r="G14" s="893"/>
      <c r="H14" s="733">
        <v>0.78</v>
      </c>
      <c r="I14" s="734">
        <v>0.78</v>
      </c>
      <c r="J14" s="734">
        <v>0.78</v>
      </c>
      <c r="K14" s="734">
        <v>0.78</v>
      </c>
      <c r="L14" s="734">
        <v>0.78</v>
      </c>
      <c r="M14" s="734">
        <v>0.78</v>
      </c>
      <c r="N14" s="734">
        <v>0.78</v>
      </c>
      <c r="O14" s="734">
        <v>0.78</v>
      </c>
      <c r="P14" s="734">
        <v>0.78</v>
      </c>
      <c r="Q14" s="734">
        <v>0.78</v>
      </c>
      <c r="R14" s="735">
        <v>0.78</v>
      </c>
    </row>
    <row r="15" spans="2:21" ht="15.75" thickBot="1">
      <c r="B15" s="886" t="s">
        <v>282</v>
      </c>
      <c r="C15" s="887"/>
      <c r="D15" s="887"/>
      <c r="E15" s="887"/>
      <c r="F15" s="887"/>
      <c r="G15" s="887"/>
      <c r="H15" s="736"/>
      <c r="I15" s="737">
        <f t="shared" ref="I15:R15" si="1">(I13/H13-1)*I14</f>
        <v>0.40473201655577101</v>
      </c>
      <c r="J15" s="737">
        <f t="shared" si="1"/>
        <v>0.37341312821220363</v>
      </c>
      <c r="K15" s="737">
        <f t="shared" si="1"/>
        <v>0.23944016794961512</v>
      </c>
      <c r="L15" s="737">
        <f t="shared" si="1"/>
        <v>0.20496751740139194</v>
      </c>
      <c r="M15" s="737">
        <f t="shared" si="1"/>
        <v>0.1539583200831055</v>
      </c>
      <c r="N15" s="737">
        <f t="shared" si="1"/>
        <v>0.16053163989187785</v>
      </c>
      <c r="O15" s="737">
        <f t="shared" si="1"/>
        <v>0.12987528755322778</v>
      </c>
      <c r="P15" s="737">
        <f t="shared" si="1"/>
        <v>9.939780723285889E-2</v>
      </c>
      <c r="Q15" s="737">
        <f t="shared" si="1"/>
        <v>7.7094305917379785E-2</v>
      </c>
      <c r="R15" s="738">
        <f t="shared" si="1"/>
        <v>6.7314619756280988E-2</v>
      </c>
    </row>
    <row r="16" spans="2:21">
      <c r="B16" s="238"/>
      <c r="C16" s="755"/>
      <c r="D16" s="238"/>
      <c r="E16" s="238"/>
      <c r="F16" s="238"/>
      <c r="G16" s="238"/>
      <c r="H16" s="239"/>
      <c r="I16" s="239"/>
      <c r="J16" s="240"/>
      <c r="K16" s="240"/>
      <c r="L16" s="240"/>
      <c r="M16" s="240"/>
      <c r="N16" s="240"/>
      <c r="O16" s="240"/>
      <c r="P16" s="240"/>
      <c r="Q16" s="240"/>
      <c r="R16" s="240"/>
    </row>
    <row r="17" spans="2:20">
      <c r="B17" s="241" t="s">
        <v>283</v>
      </c>
      <c r="C17" s="236"/>
      <c r="D17" s="236"/>
      <c r="E17" s="236"/>
      <c r="F17" s="238"/>
      <c r="G17" s="238"/>
      <c r="H17" s="239"/>
      <c r="I17" s="239"/>
      <c r="J17" s="240"/>
      <c r="K17" s="240"/>
      <c r="L17" s="240"/>
      <c r="P17" s="234" t="s">
        <v>284</v>
      </c>
      <c r="Q17" s="236"/>
    </row>
    <row r="18" spans="2:20">
      <c r="B18" s="236" t="s">
        <v>285</v>
      </c>
      <c r="C18" s="236"/>
      <c r="D18" s="236"/>
      <c r="E18" s="236"/>
      <c r="F18" s="238"/>
      <c r="G18" s="238"/>
      <c r="H18" s="239"/>
      <c r="I18" s="239"/>
      <c r="J18" s="240"/>
      <c r="K18" s="240"/>
      <c r="L18" s="240"/>
      <c r="O18" s="240"/>
      <c r="P18" s="235"/>
      <c r="Q18" s="235"/>
      <c r="R18" s="235"/>
    </row>
    <row r="19" spans="2:20">
      <c r="B19" s="236"/>
      <c r="C19" s="236"/>
      <c r="D19" s="236"/>
      <c r="E19" s="236"/>
      <c r="F19" s="238"/>
      <c r="G19" s="238"/>
      <c r="H19" s="239"/>
      <c r="I19" s="239"/>
      <c r="J19" s="240"/>
      <c r="K19" s="240"/>
      <c r="L19" s="240"/>
      <c r="M19" s="240"/>
      <c r="N19" s="240"/>
      <c r="O19" s="240"/>
      <c r="P19" s="234"/>
      <c r="Q19" s="234"/>
      <c r="R19" s="234"/>
    </row>
    <row r="20" spans="2:20">
      <c r="B20" s="236" t="s">
        <v>286</v>
      </c>
      <c r="C20" s="236"/>
      <c r="D20" s="236"/>
      <c r="E20" s="236"/>
      <c r="F20" s="238"/>
      <c r="G20" s="238"/>
      <c r="H20" s="239"/>
      <c r="I20" s="239"/>
      <c r="N20" s="240"/>
      <c r="O20" s="240"/>
      <c r="P20" s="240"/>
      <c r="Q20" s="240"/>
      <c r="R20" s="240"/>
    </row>
    <row r="21" spans="2:20">
      <c r="B21" s="236" t="s">
        <v>287</v>
      </c>
      <c r="C21" s="236"/>
      <c r="D21" s="236"/>
      <c r="E21" s="236"/>
      <c r="F21" s="238"/>
      <c r="G21" s="238"/>
      <c r="H21" s="239"/>
      <c r="I21" s="239"/>
      <c r="N21" s="235"/>
      <c r="O21" s="240"/>
      <c r="P21" s="240"/>
      <c r="Q21" s="240"/>
      <c r="R21" s="240"/>
    </row>
    <row r="22" spans="2:20" ht="15.75" thickBot="1">
      <c r="F22" s="238"/>
      <c r="G22" s="238"/>
      <c r="H22" s="239"/>
      <c r="I22" s="239"/>
      <c r="N22" s="234"/>
      <c r="O22" s="240"/>
      <c r="P22" s="240"/>
      <c r="Q22" s="240"/>
      <c r="R22" s="240"/>
    </row>
    <row r="23" spans="2:20" ht="15.75" thickBot="1">
      <c r="B23" s="894" t="s">
        <v>288</v>
      </c>
      <c r="C23" s="895"/>
      <c r="D23" s="895"/>
      <c r="E23" s="896"/>
      <c r="F23" s="897"/>
      <c r="G23" s="238"/>
      <c r="H23" s="239"/>
      <c r="I23" s="239"/>
      <c r="N23" s="240"/>
      <c r="O23" s="240"/>
      <c r="P23" s="240"/>
      <c r="Q23" s="240"/>
      <c r="R23" s="240"/>
      <c r="T23" t="s">
        <v>289</v>
      </c>
    </row>
    <row r="24" spans="2:20">
      <c r="B24" s="739" t="s">
        <v>290</v>
      </c>
      <c r="C24" s="740" t="s">
        <v>0</v>
      </c>
      <c r="D24" s="741" t="s">
        <v>237</v>
      </c>
      <c r="E24" s="742" t="s">
        <v>291</v>
      </c>
      <c r="F24" s="742" t="s">
        <v>292</v>
      </c>
      <c r="G24" s="238"/>
      <c r="H24" s="239"/>
      <c r="I24" s="239"/>
      <c r="N24" s="240"/>
      <c r="O24" s="240"/>
      <c r="P24" s="240"/>
      <c r="Q24" s="240"/>
      <c r="R24" s="240"/>
    </row>
    <row r="25" spans="2:20">
      <c r="B25" s="460" t="s">
        <v>276</v>
      </c>
      <c r="C25" s="207">
        <v>283</v>
      </c>
      <c r="D25" s="716">
        <f t="shared" ref="D25:D30" si="2">C25/$C$30</f>
        <v>0.41925925925925928</v>
      </c>
      <c r="E25" s="743">
        <v>0.74</v>
      </c>
      <c r="F25" s="743">
        <f>D25*E25</f>
        <v>0.31025185185185183</v>
      </c>
      <c r="G25" s="238"/>
      <c r="H25" s="239"/>
      <c r="I25" s="239"/>
      <c r="N25" s="240"/>
      <c r="O25" s="240"/>
      <c r="P25" s="240"/>
      <c r="Q25" s="240"/>
      <c r="R25" s="240"/>
    </row>
    <row r="26" spans="2:20">
      <c r="B26" s="460" t="s">
        <v>274</v>
      </c>
      <c r="C26" s="207">
        <v>108</v>
      </c>
      <c r="D26" s="716">
        <f t="shared" si="2"/>
        <v>0.16</v>
      </c>
      <c r="E26" s="744">
        <v>0.94</v>
      </c>
      <c r="F26" s="743">
        <f>D26*E26</f>
        <v>0.15040000000000001</v>
      </c>
    </row>
    <row r="27" spans="2:20">
      <c r="B27" s="460" t="s">
        <v>275</v>
      </c>
      <c r="C27" s="207">
        <v>81</v>
      </c>
      <c r="D27" s="716">
        <f t="shared" si="2"/>
        <v>0.12</v>
      </c>
      <c r="E27" s="743">
        <v>0.91</v>
      </c>
      <c r="F27" s="743">
        <f>D27*E27</f>
        <v>0.10920000000000001</v>
      </c>
      <c r="G27" s="238"/>
      <c r="H27" s="239"/>
      <c r="I27" s="239"/>
      <c r="J27" s="240"/>
      <c r="K27" s="240"/>
      <c r="L27" s="240"/>
      <c r="M27" s="240"/>
      <c r="N27" s="240"/>
      <c r="O27" s="240"/>
      <c r="P27" s="240"/>
      <c r="Q27" s="240"/>
      <c r="R27" s="240"/>
    </row>
    <row r="28" spans="2:20">
      <c r="B28" s="460" t="s">
        <v>277</v>
      </c>
      <c r="C28" s="207">
        <v>76</v>
      </c>
      <c r="D28" s="716">
        <f t="shared" si="2"/>
        <v>0.11259259259259259</v>
      </c>
      <c r="E28" s="743">
        <v>0.8</v>
      </c>
      <c r="F28" s="743">
        <f>D28*E28</f>
        <v>9.0074074074074084E-2</v>
      </c>
      <c r="G28" s="238"/>
      <c r="H28" s="239"/>
      <c r="I28" s="239"/>
      <c r="J28" s="240"/>
      <c r="K28" s="240"/>
      <c r="L28" s="240"/>
      <c r="M28" s="240"/>
      <c r="N28" s="240"/>
      <c r="O28" s="240"/>
      <c r="P28" s="240"/>
      <c r="Q28" s="240"/>
      <c r="R28" s="240"/>
    </row>
    <row r="29" spans="2:20" ht="60">
      <c r="B29" s="462" t="s">
        <v>293</v>
      </c>
      <c r="C29" s="207">
        <v>127</v>
      </c>
      <c r="D29" s="716">
        <f t="shared" si="2"/>
        <v>0.18814814814814815</v>
      </c>
      <c r="E29" s="745">
        <f>0.5*0.73+0.5*0.52</f>
        <v>0.625</v>
      </c>
      <c r="F29" s="743">
        <f>D29*E29</f>
        <v>0.1175925925925926</v>
      </c>
      <c r="G29" s="238"/>
      <c r="H29" s="239"/>
      <c r="I29" s="239"/>
      <c r="J29" s="240"/>
      <c r="K29" s="240"/>
      <c r="L29" s="240"/>
      <c r="M29" s="240"/>
      <c r="N29" s="240"/>
      <c r="O29" s="240"/>
      <c r="P29" s="240"/>
      <c r="Q29" s="240"/>
      <c r="R29" s="240"/>
    </row>
    <row r="30" spans="2:20" ht="15.75" thickBot="1">
      <c r="B30" s="554" t="s">
        <v>114</v>
      </c>
      <c r="C30" s="555">
        <f>SUM(C25:C29)</f>
        <v>675</v>
      </c>
      <c r="D30" s="717">
        <f t="shared" si="2"/>
        <v>1</v>
      </c>
      <c r="E30" s="746"/>
      <c r="F30" s="747">
        <f>SUM(F25:F29)</f>
        <v>0.7775185185185185</v>
      </c>
      <c r="G30" s="236"/>
      <c r="H30" s="236"/>
      <c r="I30" s="236"/>
      <c r="J30" s="236"/>
      <c r="K30" s="236"/>
      <c r="L30" s="236"/>
      <c r="M30" s="236"/>
      <c r="N30" s="236"/>
      <c r="O30" s="236"/>
      <c r="P30" s="236"/>
      <c r="Q30" s="236"/>
      <c r="R30" s="236"/>
    </row>
    <row r="31" spans="2:20">
      <c r="F31" s="236"/>
      <c r="G31" s="236"/>
      <c r="H31" s="236"/>
      <c r="I31" s="236"/>
      <c r="J31" s="236"/>
      <c r="K31" s="236"/>
      <c r="L31" s="236"/>
      <c r="M31" s="236"/>
      <c r="N31" s="236"/>
      <c r="O31" s="236"/>
      <c r="P31" s="236"/>
      <c r="Q31" s="236"/>
      <c r="R31" s="236"/>
    </row>
    <row r="32" spans="2:20">
      <c r="F32" s="236"/>
      <c r="G32" s="236"/>
      <c r="H32" s="236"/>
      <c r="I32" s="236"/>
      <c r="J32" s="236"/>
      <c r="K32" s="236"/>
      <c r="L32" s="236"/>
      <c r="M32" s="236"/>
      <c r="N32" s="236"/>
      <c r="O32" s="236"/>
      <c r="P32" s="236"/>
      <c r="Q32" s="236"/>
      <c r="R32" s="236"/>
    </row>
    <row r="33" spans="6:18">
      <c r="F33" s="236"/>
      <c r="G33" s="236"/>
      <c r="H33" s="236"/>
      <c r="I33" s="236"/>
      <c r="J33" s="236"/>
      <c r="K33" s="236"/>
      <c r="L33" s="236"/>
      <c r="M33" s="236"/>
      <c r="N33" s="236"/>
      <c r="O33" s="236"/>
      <c r="P33" s="236"/>
      <c r="Q33" s="236"/>
      <c r="R33" s="236"/>
    </row>
    <row r="34" spans="6:18">
      <c r="F34" s="236"/>
      <c r="G34" s="236"/>
      <c r="H34" s="236"/>
      <c r="I34" s="236"/>
      <c r="J34" s="236"/>
      <c r="K34" s="236"/>
      <c r="L34" s="236"/>
      <c r="M34" s="236"/>
      <c r="N34" s="236"/>
      <c r="O34" s="236"/>
      <c r="P34" s="236"/>
      <c r="Q34" s="236"/>
      <c r="R34" s="236"/>
    </row>
    <row r="35" spans="6:18">
      <c r="F35" s="236"/>
      <c r="G35" s="236"/>
      <c r="H35" s="236"/>
      <c r="I35" s="236"/>
      <c r="J35" s="236"/>
      <c r="K35" s="236"/>
      <c r="L35" s="236"/>
      <c r="M35" s="236"/>
      <c r="N35" s="236"/>
      <c r="O35" s="236"/>
      <c r="P35" s="236"/>
      <c r="Q35" s="236"/>
      <c r="R35" s="236"/>
    </row>
  </sheetData>
  <mergeCells count="5">
    <mergeCell ref="B13:G13"/>
    <mergeCell ref="B15:G15"/>
    <mergeCell ref="B5:R5"/>
    <mergeCell ref="B14:G14"/>
    <mergeCell ref="B23:F2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22F27-068A-F64F-BD3B-2FA125B8040C}">
  <sheetPr codeName="Sheet8"/>
  <dimension ref="A1:AJ157"/>
  <sheetViews>
    <sheetView topLeftCell="A4" zoomScale="81" workbookViewId="0">
      <selection activeCell="E16" sqref="E16"/>
    </sheetView>
  </sheetViews>
  <sheetFormatPr defaultColWidth="8.7109375" defaultRowHeight="15"/>
  <cols>
    <col min="1" max="1" width="3.7109375" customWidth="1"/>
    <col min="3" max="3" width="12.28515625" customWidth="1"/>
    <col min="4" max="5" width="6.7109375" customWidth="1"/>
    <col min="6" max="12" width="8.140625" customWidth="1"/>
    <col min="13" max="14" width="6.7109375" customWidth="1"/>
    <col min="15" max="15" width="7.42578125" bestFit="1" customWidth="1"/>
    <col min="16" max="16" width="9.42578125" bestFit="1" customWidth="1"/>
    <col min="17" max="17" width="21.140625" customWidth="1"/>
    <col min="18" max="18" width="11.7109375" customWidth="1"/>
    <col min="19" max="19" width="1.42578125" customWidth="1"/>
    <col min="20" max="20" width="26.28515625" customWidth="1"/>
  </cols>
  <sheetData>
    <row r="1" spans="1:36" ht="16.5" thickBot="1">
      <c r="A1" s="295"/>
      <c r="B1" s="901" t="s">
        <v>294</v>
      </c>
      <c r="C1" s="902"/>
      <c r="D1" s="902"/>
      <c r="E1" s="902"/>
      <c r="F1" s="902"/>
      <c r="G1" s="902"/>
      <c r="H1" s="902"/>
      <c r="I1" s="902"/>
      <c r="J1" s="902"/>
      <c r="K1" s="902"/>
      <c r="L1" s="902"/>
      <c r="M1" s="902"/>
      <c r="N1" s="903"/>
      <c r="O1" s="295"/>
      <c r="P1" s="295"/>
      <c r="Q1" s="295"/>
      <c r="R1" s="295"/>
      <c r="S1" s="295"/>
      <c r="T1" s="295"/>
      <c r="U1" s="295"/>
      <c r="V1" s="295"/>
      <c r="W1" s="494" t="s">
        <v>295</v>
      </c>
      <c r="X1" s="495"/>
      <c r="Y1" s="495"/>
      <c r="Z1" s="495"/>
      <c r="AA1" s="495"/>
      <c r="AB1" s="495"/>
      <c r="AC1" s="495"/>
      <c r="AD1" s="495"/>
      <c r="AE1" s="495"/>
      <c r="AF1" s="495"/>
      <c r="AG1" s="495"/>
      <c r="AH1" s="496"/>
      <c r="AI1" s="295"/>
      <c r="AJ1" s="295"/>
    </row>
    <row r="2" spans="1:36" ht="16.5" thickBot="1">
      <c r="A2" s="295"/>
      <c r="B2" s="586"/>
      <c r="C2" s="586"/>
      <c r="D2" s="586"/>
      <c r="E2" s="586"/>
      <c r="F2" s="586"/>
      <c r="G2" s="586"/>
      <c r="H2" s="586"/>
      <c r="I2" s="586"/>
      <c r="J2" s="586"/>
      <c r="K2" s="586"/>
      <c r="L2" s="586"/>
      <c r="M2" s="586"/>
      <c r="N2" s="586"/>
      <c r="O2" s="295"/>
      <c r="P2" s="295"/>
      <c r="Q2" s="295"/>
      <c r="R2" s="295"/>
      <c r="S2" s="295"/>
      <c r="T2" s="295"/>
      <c r="U2" s="295"/>
      <c r="V2" s="295"/>
      <c r="W2" s="295" t="s">
        <v>296</v>
      </c>
      <c r="X2" s="295"/>
      <c r="Y2" s="295"/>
      <c r="Z2" s="295"/>
      <c r="AA2" s="295"/>
      <c r="AB2" s="295"/>
      <c r="AC2" s="295"/>
      <c r="AD2" s="295"/>
      <c r="AE2" s="295"/>
      <c r="AF2" s="214"/>
      <c r="AG2" s="214"/>
      <c r="AH2" s="214"/>
      <c r="AI2" s="295"/>
      <c r="AJ2" s="295"/>
    </row>
    <row r="3" spans="1:36">
      <c r="A3" s="295"/>
      <c r="B3" s="582" t="s">
        <v>245</v>
      </c>
      <c r="C3" s="583">
        <f>14.1%</f>
        <v>0.14099999999999999</v>
      </c>
      <c r="D3" s="295"/>
      <c r="E3" s="295"/>
      <c r="F3" s="295" t="s">
        <v>297</v>
      </c>
      <c r="G3" s="295"/>
      <c r="H3" s="295"/>
      <c r="I3" s="295"/>
      <c r="J3" s="295"/>
      <c r="K3" s="295"/>
      <c r="L3" s="295"/>
      <c r="M3" s="295"/>
      <c r="N3" s="295"/>
      <c r="O3" s="295"/>
      <c r="P3" s="295"/>
      <c r="Q3" s="295"/>
      <c r="R3" s="295"/>
      <c r="S3" s="295"/>
      <c r="T3" s="295"/>
      <c r="U3" s="295"/>
      <c r="V3" s="295"/>
      <c r="W3" s="295"/>
      <c r="X3" s="295"/>
      <c r="Y3" s="295"/>
      <c r="Z3" s="295"/>
      <c r="AA3" s="295"/>
      <c r="AB3" s="295"/>
      <c r="AC3" s="295"/>
      <c r="AD3" s="295"/>
      <c r="AE3" s="295"/>
      <c r="AF3" s="295"/>
      <c r="AG3" s="295"/>
      <c r="AH3" s="295"/>
      <c r="AI3" s="295"/>
      <c r="AJ3" s="295"/>
    </row>
    <row r="4" spans="1:36" ht="90.75" thickBot="1">
      <c r="A4" s="295"/>
      <c r="B4" s="584" t="s">
        <v>298</v>
      </c>
      <c r="C4" s="585">
        <f>C56+C57</f>
        <v>7.1334285714285725E-2</v>
      </c>
      <c r="D4" s="295"/>
      <c r="E4" s="295"/>
      <c r="F4" s="295"/>
      <c r="G4" s="295"/>
      <c r="H4" s="295"/>
      <c r="I4" s="295"/>
      <c r="J4" s="295"/>
      <c r="K4" s="295"/>
      <c r="L4" s="295"/>
      <c r="M4" s="295"/>
      <c r="N4" s="295"/>
      <c r="O4" s="295"/>
      <c r="P4" s="295"/>
      <c r="Q4" s="295"/>
      <c r="R4" s="295"/>
      <c r="S4" s="295"/>
      <c r="T4" s="295"/>
      <c r="U4" s="295"/>
      <c r="V4" s="295"/>
      <c r="W4" s="295"/>
      <c r="X4" s="295"/>
      <c r="Y4" s="295"/>
      <c r="Z4" s="295"/>
      <c r="AA4" s="295"/>
      <c r="AB4" s="295"/>
      <c r="AC4" s="295"/>
      <c r="AD4" s="295"/>
      <c r="AE4" s="295"/>
      <c r="AF4" s="295"/>
      <c r="AG4" s="295"/>
      <c r="AH4" s="295"/>
      <c r="AI4" s="295"/>
      <c r="AJ4" s="295"/>
    </row>
    <row r="5" spans="1:36" ht="16.5" thickBot="1">
      <c r="A5" s="295"/>
      <c r="B5" s="295"/>
      <c r="C5" s="295"/>
      <c r="D5" s="295"/>
      <c r="E5" s="295"/>
      <c r="F5" s="654" t="s">
        <v>299</v>
      </c>
      <c r="G5" s="654" t="s">
        <v>300</v>
      </c>
      <c r="H5" s="654"/>
      <c r="I5" s="654"/>
      <c r="J5" s="655"/>
      <c r="K5" s="655"/>
      <c r="L5" s="655"/>
      <c r="M5" s="655"/>
      <c r="O5" s="295"/>
      <c r="P5" s="295"/>
      <c r="Q5" s="295"/>
      <c r="R5" s="295"/>
      <c r="S5" s="295"/>
      <c r="T5" s="295"/>
      <c r="U5" s="295"/>
      <c r="V5" s="295"/>
      <c r="W5" s="489" t="s">
        <v>301</v>
      </c>
      <c r="X5" s="295"/>
      <c r="Y5" s="295"/>
      <c r="Z5" s="295"/>
      <c r="AA5" s="295"/>
      <c r="AB5" s="295"/>
      <c r="AC5" s="295"/>
      <c r="AD5" s="295"/>
      <c r="AE5" s="295"/>
      <c r="AF5" s="295"/>
      <c r="AG5" s="295"/>
      <c r="AH5" s="295"/>
      <c r="AI5" s="295"/>
      <c r="AJ5" s="295"/>
    </row>
    <row r="6" spans="1:36" ht="16.5" thickBot="1">
      <c r="A6" s="295"/>
      <c r="B6" s="872" t="s">
        <v>302</v>
      </c>
      <c r="C6" s="873"/>
      <c r="D6" s="873"/>
      <c r="E6" s="873"/>
      <c r="F6" s="873"/>
      <c r="G6" s="873"/>
      <c r="H6" s="873"/>
      <c r="I6" s="873"/>
      <c r="J6" s="873"/>
      <c r="K6" s="873"/>
      <c r="L6" s="873"/>
      <c r="M6" s="873"/>
      <c r="N6" s="874"/>
      <c r="O6" s="295"/>
      <c r="P6" s="898" t="s">
        <v>303</v>
      </c>
      <c r="Q6" s="899"/>
      <c r="R6" s="899"/>
      <c r="S6" s="899"/>
      <c r="T6" s="899"/>
      <c r="U6" s="900"/>
      <c r="V6" s="295"/>
      <c r="W6" s="479" t="s">
        <v>304</v>
      </c>
      <c r="X6" s="480" t="s">
        <v>305</v>
      </c>
      <c r="Y6" s="480" t="s">
        <v>306</v>
      </c>
      <c r="Z6" s="480" t="s">
        <v>307</v>
      </c>
      <c r="AA6" s="480" t="s">
        <v>308</v>
      </c>
      <c r="AB6" s="480" t="s">
        <v>309</v>
      </c>
      <c r="AC6" s="480" t="s">
        <v>310</v>
      </c>
      <c r="AD6" s="480" t="s">
        <v>311</v>
      </c>
      <c r="AE6" s="480" t="s">
        <v>312</v>
      </c>
      <c r="AF6" s="480" t="s">
        <v>313</v>
      </c>
      <c r="AG6" s="480" t="s">
        <v>314</v>
      </c>
      <c r="AH6" s="481" t="s">
        <v>315</v>
      </c>
    </row>
    <row r="7" spans="1:36" ht="58.15" customHeight="1" thickBot="1">
      <c r="A7" s="295"/>
      <c r="B7" s="378" t="s">
        <v>316</v>
      </c>
      <c r="C7" s="379"/>
      <c r="D7" s="386" t="s">
        <v>25</v>
      </c>
      <c r="E7" s="370" t="s">
        <v>30</v>
      </c>
      <c r="F7" s="370" t="s">
        <v>31</v>
      </c>
      <c r="G7" s="370" t="s">
        <v>32</v>
      </c>
      <c r="H7" s="370" t="s">
        <v>33</v>
      </c>
      <c r="I7" s="370" t="s">
        <v>34</v>
      </c>
      <c r="J7" s="370" t="s">
        <v>35</v>
      </c>
      <c r="K7" s="426" t="s">
        <v>36</v>
      </c>
      <c r="L7" s="426" t="s">
        <v>37</v>
      </c>
      <c r="M7" s="426" t="s">
        <v>38</v>
      </c>
      <c r="N7" s="427" t="s">
        <v>39</v>
      </c>
      <c r="O7" s="295"/>
      <c r="P7" s="432"/>
      <c r="Q7" s="255" t="s">
        <v>317</v>
      </c>
      <c r="R7" s="255" t="s">
        <v>318</v>
      </c>
      <c r="S7" s="295"/>
      <c r="T7" s="255" t="s">
        <v>319</v>
      </c>
      <c r="U7" s="433">
        <f>E15-E9-E13</f>
        <v>2091.5000000000005</v>
      </c>
      <c r="V7" s="295"/>
      <c r="W7" s="482" t="s">
        <v>320</v>
      </c>
      <c r="X7" s="483">
        <v>5.0000000000000001E-3</v>
      </c>
      <c r="Y7" s="483">
        <v>6.6E-3</v>
      </c>
      <c r="Z7" s="483">
        <v>8.7880000000000007E-3</v>
      </c>
      <c r="AA7" s="483">
        <v>1.7919999999999998E-2</v>
      </c>
      <c r="AB7" s="483">
        <v>2.8590000000000001E-2</v>
      </c>
      <c r="AC7" s="483">
        <v>3.3550000000000003E-2</v>
      </c>
      <c r="AD7" s="483">
        <v>4.1029999999999997E-2</v>
      </c>
      <c r="AE7" s="483">
        <v>5.2159999999999998E-2</v>
      </c>
      <c r="AF7" s="483">
        <v>6.726E-2</v>
      </c>
      <c r="AG7" s="483">
        <v>7.7539999999999998E-2</v>
      </c>
      <c r="AH7" s="484">
        <v>8.8800000000000004E-2</v>
      </c>
    </row>
    <row r="8" spans="1:36" ht="16.899999999999999" customHeight="1">
      <c r="A8" s="295"/>
      <c r="B8" s="910" t="s">
        <v>0</v>
      </c>
      <c r="C8" s="383" t="s">
        <v>276</v>
      </c>
      <c r="D8" s="312">
        <v>63.54</v>
      </c>
      <c r="E8" s="419">
        <v>72.2</v>
      </c>
      <c r="F8" s="419">
        <v>84.53</v>
      </c>
      <c r="G8" s="419">
        <v>97.22</v>
      </c>
      <c r="H8" s="419">
        <v>109.7</v>
      </c>
      <c r="I8" s="419">
        <v>121</v>
      </c>
      <c r="J8" s="419">
        <v>130.69999999999999</v>
      </c>
      <c r="K8" s="387">
        <f t="shared" ref="K8:L12" si="0">J8*(1+K19)</f>
        <v>139.38288954446827</v>
      </c>
      <c r="L8" s="387">
        <f t="shared" si="0"/>
        <v>147.05651287094716</v>
      </c>
      <c r="M8" s="387">
        <f>(1+$C$3)^8*E8</f>
        <v>207.40649527713592</v>
      </c>
      <c r="N8" s="388">
        <f t="shared" ref="N8:N13" si="1">M8*(1+$C$4)</f>
        <v>222.20168947023379</v>
      </c>
      <c r="O8" s="295"/>
      <c r="P8" s="434" t="s">
        <v>276</v>
      </c>
      <c r="Q8" s="430">
        <f>M8/J8-1</f>
        <v>0.58688978788933377</v>
      </c>
      <c r="R8" s="428">
        <f>E8/$U$7</f>
        <v>3.4520678938560832E-2</v>
      </c>
      <c r="S8" s="295"/>
      <c r="T8" s="255" t="s">
        <v>321</v>
      </c>
      <c r="U8" s="435">
        <f>SUMPRODUCT(Q8:Q12,R8:R12)</f>
        <v>0.28009012631330182</v>
      </c>
      <c r="V8" s="295"/>
      <c r="W8" s="482" t="s">
        <v>322</v>
      </c>
      <c r="X8" s="483">
        <v>2.291E-2</v>
      </c>
      <c r="Y8" s="483">
        <v>2.7619999999999999E-2</v>
      </c>
      <c r="Z8" s="483">
        <v>3.1579999999999997E-2</v>
      </c>
      <c r="AA8" s="483">
        <v>6.3350000000000004E-2</v>
      </c>
      <c r="AB8" s="483">
        <v>9.5269999999999994E-2</v>
      </c>
      <c r="AC8" s="483">
        <v>0.1114</v>
      </c>
      <c r="AD8" s="483">
        <v>0.13489999999999999</v>
      </c>
      <c r="AE8" s="483">
        <v>0.1623</v>
      </c>
      <c r="AF8" s="483">
        <v>0.2077</v>
      </c>
      <c r="AG8" s="483">
        <v>0.2399</v>
      </c>
      <c r="AH8" s="484">
        <v>0.27700000000000002</v>
      </c>
    </row>
    <row r="9" spans="1:36" ht="15.75">
      <c r="A9" s="295"/>
      <c r="B9" s="905"/>
      <c r="C9" s="384" t="s">
        <v>268</v>
      </c>
      <c r="D9" s="313">
        <v>487.3</v>
      </c>
      <c r="E9" s="420">
        <v>671.5</v>
      </c>
      <c r="F9" s="420">
        <v>929.5</v>
      </c>
      <c r="G9" s="420">
        <v>1231</v>
      </c>
      <c r="H9" s="420">
        <v>1556</v>
      </c>
      <c r="I9" s="420">
        <v>1860.0000000000002</v>
      </c>
      <c r="J9" s="420">
        <v>2121</v>
      </c>
      <c r="K9" s="376">
        <f t="shared" si="0"/>
        <v>2352.8796970611002</v>
      </c>
      <c r="L9" s="376">
        <f t="shared" si="0"/>
        <v>2553.2882585407056</v>
      </c>
      <c r="M9" s="376">
        <f>(1+U8)*J9</f>
        <v>2715.0711579105132</v>
      </c>
      <c r="N9" s="377">
        <f t="shared" si="1"/>
        <v>2908.7488196235186</v>
      </c>
      <c r="O9" s="295"/>
      <c r="P9" s="434" t="s">
        <v>279</v>
      </c>
      <c r="Q9" s="430">
        <f>M10/J10-1</f>
        <v>0.14094041246783151</v>
      </c>
      <c r="R9" s="428">
        <f>E10/$U$7</f>
        <v>4.9677265120726739E-2</v>
      </c>
      <c r="S9" s="295"/>
      <c r="T9" s="295"/>
      <c r="U9" s="314"/>
      <c r="V9" s="295"/>
      <c r="W9" s="482" t="s">
        <v>323</v>
      </c>
      <c r="X9" s="483">
        <v>8.4410000000000006E-3</v>
      </c>
      <c r="Y9" s="483">
        <v>1.1820000000000001E-2</v>
      </c>
      <c r="Z9" s="483">
        <v>1.566E-2</v>
      </c>
      <c r="AA9" s="483">
        <v>3.4099999999999998E-2</v>
      </c>
      <c r="AB9" s="483">
        <v>5.7029999999999997E-2</v>
      </c>
      <c r="AC9" s="483">
        <v>7.1160000000000001E-2</v>
      </c>
      <c r="AD9" s="483">
        <v>9.0090000000000003E-2</v>
      </c>
      <c r="AE9" s="483">
        <v>0.11609999999999999</v>
      </c>
      <c r="AF9" s="483">
        <v>0.15409999999999999</v>
      </c>
      <c r="AG9" s="483">
        <v>0.18210000000000001</v>
      </c>
      <c r="AH9" s="484">
        <v>0.2165</v>
      </c>
    </row>
    <row r="10" spans="1:36" ht="15.75">
      <c r="A10" s="295"/>
      <c r="B10" s="905"/>
      <c r="C10" s="384" t="s">
        <v>279</v>
      </c>
      <c r="D10" s="313">
        <v>75.72</v>
      </c>
      <c r="E10" s="420">
        <v>103.89999999999999</v>
      </c>
      <c r="F10" s="420">
        <v>140</v>
      </c>
      <c r="G10" s="420">
        <v>176.5</v>
      </c>
      <c r="H10" s="420">
        <v>210.6</v>
      </c>
      <c r="I10" s="420">
        <v>239.2</v>
      </c>
      <c r="J10" s="420">
        <v>261.60000000000002</v>
      </c>
      <c r="K10" s="376">
        <f t="shared" si="0"/>
        <v>279.26213832661335</v>
      </c>
      <c r="L10" s="376">
        <f t="shared" si="0"/>
        <v>292.85579510301665</v>
      </c>
      <c r="M10" s="376">
        <f>(1+$C$3)^8*E10</f>
        <v>298.47001190158477</v>
      </c>
      <c r="N10" s="377">
        <f t="shared" si="1"/>
        <v>319.76115700771868</v>
      </c>
      <c r="O10" s="295"/>
      <c r="P10" s="434" t="s">
        <v>274</v>
      </c>
      <c r="Q10" s="430">
        <f>M11/J11-1</f>
        <v>0.33490636098586313</v>
      </c>
      <c r="R10" s="428">
        <f>E11/$U$7</f>
        <v>7.8030121922065487E-2</v>
      </c>
      <c r="S10" s="295"/>
      <c r="T10" s="295"/>
      <c r="U10" s="314"/>
      <c r="V10" s="295"/>
      <c r="W10" s="482" t="s">
        <v>324</v>
      </c>
      <c r="X10" s="483">
        <v>7.6770000000000005E-2</v>
      </c>
      <c r="Y10" s="483">
        <v>5.3460000000000001E-2</v>
      </c>
      <c r="Z10" s="483">
        <v>3.9460000000000002E-2</v>
      </c>
      <c r="AA10" s="483">
        <v>4.4830000000000002E-2</v>
      </c>
      <c r="AB10" s="483">
        <v>4.9970000000000001E-2</v>
      </c>
      <c r="AC10" s="483">
        <v>4.564E-2</v>
      </c>
      <c r="AD10" s="483">
        <v>0.04</v>
      </c>
      <c r="AE10" s="483">
        <v>3.4729999999999997E-2</v>
      </c>
      <c r="AF10" s="483">
        <v>3.0939999999999999E-2</v>
      </c>
      <c r="AG10" s="483">
        <v>2.811E-2</v>
      </c>
      <c r="AH10" s="484">
        <v>2.581E-2</v>
      </c>
    </row>
    <row r="11" spans="1:36" ht="15.75">
      <c r="A11" s="295"/>
      <c r="B11" s="905"/>
      <c r="C11" s="384" t="s">
        <v>274</v>
      </c>
      <c r="D11" s="313">
        <v>126</v>
      </c>
      <c r="E11" s="420">
        <v>163.19999999999999</v>
      </c>
      <c r="F11" s="420">
        <v>202.59999999999997</v>
      </c>
      <c r="G11" s="420">
        <v>243.6</v>
      </c>
      <c r="H11" s="420">
        <v>283.89999999999998</v>
      </c>
      <c r="I11" s="420">
        <v>319.7</v>
      </c>
      <c r="J11" s="420">
        <v>351.2</v>
      </c>
      <c r="K11" s="376">
        <f t="shared" si="0"/>
        <v>378.87712855216279</v>
      </c>
      <c r="L11" s="376">
        <f t="shared" si="0"/>
        <v>402.75873400641387</v>
      </c>
      <c r="M11" s="376">
        <f>(1+$C$3)^8*E11</f>
        <v>468.81911397823512</v>
      </c>
      <c r="N11" s="377">
        <f t="shared" si="1"/>
        <v>502.26199060307687</v>
      </c>
      <c r="O11" s="295"/>
      <c r="P11" s="434" t="s">
        <v>277</v>
      </c>
      <c r="Q11" s="430">
        <f>M12/J12-1</f>
        <v>0.19106965193932202</v>
      </c>
      <c r="R11" s="428">
        <f>E12/$U$7</f>
        <v>7.7551996174994017E-2</v>
      </c>
      <c r="S11" s="295"/>
      <c r="T11" s="295"/>
      <c r="U11" s="314"/>
      <c r="V11" s="295"/>
      <c r="W11" s="482" t="s">
        <v>325</v>
      </c>
      <c r="X11" s="483">
        <v>1.864E-2</v>
      </c>
      <c r="Y11" s="483">
        <v>2.4379999999999999E-2</v>
      </c>
      <c r="Z11" s="483">
        <v>3.3239999999999999E-2</v>
      </c>
      <c r="AA11" s="483">
        <v>6.5250000000000002E-2</v>
      </c>
      <c r="AB11" s="483">
        <v>0.1167</v>
      </c>
      <c r="AC11" s="483">
        <v>0.14219999999999999</v>
      </c>
      <c r="AD11" s="483">
        <v>0.18010000000000001</v>
      </c>
      <c r="AE11" s="483">
        <v>0.23319999999999999</v>
      </c>
      <c r="AF11" s="483">
        <v>0.30669999999999997</v>
      </c>
      <c r="AG11" s="483">
        <v>0.35880000000000001</v>
      </c>
      <c r="AH11" s="484">
        <v>0.4158</v>
      </c>
    </row>
    <row r="12" spans="1:36" ht="16.5" thickBot="1">
      <c r="A12" s="295"/>
      <c r="B12" s="905"/>
      <c r="C12" s="384" t="s">
        <v>277</v>
      </c>
      <c r="D12" s="313">
        <v>130.5</v>
      </c>
      <c r="E12" s="420">
        <v>162.20000000000002</v>
      </c>
      <c r="F12" s="420">
        <v>211.39999999999998</v>
      </c>
      <c r="G12" s="420">
        <v>261.3</v>
      </c>
      <c r="H12" s="420">
        <v>309.8</v>
      </c>
      <c r="I12" s="420">
        <v>353.7</v>
      </c>
      <c r="J12" s="420">
        <v>391.2</v>
      </c>
      <c r="K12" s="376">
        <f t="shared" si="0"/>
        <v>423.09655020347191</v>
      </c>
      <c r="L12" s="376">
        <f t="shared" si="0"/>
        <v>449.62629133929795</v>
      </c>
      <c r="M12" s="376">
        <f>(1+$C$3)^8*E12</f>
        <v>465.94644783866272</v>
      </c>
      <c r="N12" s="377">
        <f t="shared" si="1"/>
        <v>499.18440487634246</v>
      </c>
      <c r="O12" s="295"/>
      <c r="P12" s="436" t="s">
        <v>275</v>
      </c>
      <c r="Q12" s="437">
        <f>M14/J14-1</f>
        <v>0.27870637231811468</v>
      </c>
      <c r="R12" s="438">
        <f>E14/U7</f>
        <v>0.76021993784365272</v>
      </c>
      <c r="S12" s="373"/>
      <c r="T12" s="373"/>
      <c r="U12" s="375"/>
      <c r="V12" s="295"/>
      <c r="W12" s="482" t="s">
        <v>326</v>
      </c>
      <c r="X12" s="483">
        <v>1.744</v>
      </c>
      <c r="Y12" s="483">
        <v>2.0270000000000001</v>
      </c>
      <c r="Z12" s="483">
        <v>2.371</v>
      </c>
      <c r="AA12" s="483">
        <v>3.8929999999999998</v>
      </c>
      <c r="AB12" s="483">
        <v>6.335</v>
      </c>
      <c r="AC12" s="483">
        <v>6.7859999999999996</v>
      </c>
      <c r="AD12" s="483">
        <v>8.0559999999999992</v>
      </c>
      <c r="AE12" s="483">
        <v>9.3699999999999992</v>
      </c>
      <c r="AF12" s="483">
        <v>10.64</v>
      </c>
      <c r="AG12" s="483">
        <v>11.75</v>
      </c>
      <c r="AH12" s="484">
        <v>12.7</v>
      </c>
    </row>
    <row r="13" spans="1:36" ht="15.75">
      <c r="A13" s="295"/>
      <c r="B13" s="905"/>
      <c r="C13" s="384" t="s">
        <v>327</v>
      </c>
      <c r="D13" s="313">
        <v>69.89</v>
      </c>
      <c r="E13" s="420">
        <v>85.72</v>
      </c>
      <c r="F13" s="420">
        <v>108.3</v>
      </c>
      <c r="G13" s="420">
        <v>140.9</v>
      </c>
      <c r="H13" s="420">
        <v>186.70000000000002</v>
      </c>
      <c r="I13" s="420">
        <v>218.70000000000002</v>
      </c>
      <c r="J13" s="420">
        <v>253.7</v>
      </c>
      <c r="K13" s="376">
        <f>(1+K24)*J13</f>
        <v>291.08971898949108</v>
      </c>
      <c r="L13" s="376">
        <f>(L24+1)*K13</f>
        <v>330.59644799297433</v>
      </c>
      <c r="M13" s="376">
        <f>(U8+1)*J13</f>
        <v>324.75886504568467</v>
      </c>
      <c r="N13" s="377">
        <f t="shared" si="1"/>
        <v>347.92530671310072</v>
      </c>
      <c r="O13" s="295"/>
      <c r="P13" s="295" t="s">
        <v>328</v>
      </c>
      <c r="Q13" s="429"/>
      <c r="R13" s="429"/>
      <c r="S13" s="295"/>
      <c r="T13" s="295"/>
      <c r="U13" s="295"/>
      <c r="V13" s="295"/>
      <c r="W13" s="482" t="s">
        <v>329</v>
      </c>
      <c r="X13" s="483">
        <v>0.28810000000000002</v>
      </c>
      <c r="Y13" s="483">
        <v>0.33829999999999999</v>
      </c>
      <c r="Z13" s="483">
        <v>0.36969999999999997</v>
      </c>
      <c r="AA13" s="483">
        <v>0.56950000000000001</v>
      </c>
      <c r="AB13" s="483">
        <v>0.78820000000000001</v>
      </c>
      <c r="AC13" s="483">
        <v>0.81240000000000001</v>
      </c>
      <c r="AD13" s="483">
        <v>0.90990000000000004</v>
      </c>
      <c r="AE13" s="483">
        <v>1.0649999999999999</v>
      </c>
      <c r="AF13" s="483">
        <v>1.2569999999999999</v>
      </c>
      <c r="AG13" s="483">
        <v>1.4650000000000001</v>
      </c>
      <c r="AH13" s="484">
        <v>1.66</v>
      </c>
    </row>
    <row r="14" spans="1:36" ht="16.5" thickBot="1">
      <c r="A14" s="295"/>
      <c r="B14" s="905"/>
      <c r="C14" s="384" t="s">
        <v>275</v>
      </c>
      <c r="D14" s="313">
        <v>1408</v>
      </c>
      <c r="E14" s="420">
        <v>1590</v>
      </c>
      <c r="F14" s="420">
        <v>1950</v>
      </c>
      <c r="G14" s="420">
        <v>2365</v>
      </c>
      <c r="H14" s="420">
        <v>2799</v>
      </c>
      <c r="I14" s="420">
        <v>3211</v>
      </c>
      <c r="J14" s="420">
        <v>3572</v>
      </c>
      <c r="K14" s="376">
        <f>(1+K25)*J14</f>
        <v>3910.1484717732033</v>
      </c>
      <c r="L14" s="376">
        <f>(L25+1)*K14</f>
        <v>4221.8351995082694</v>
      </c>
      <c r="M14" s="376">
        <f>E14*((1+C3)^8)</f>
        <v>4567.5391619203056</v>
      </c>
      <c r="N14" s="377">
        <f>M14*(1+C4)</f>
        <v>4893.3613055079177</v>
      </c>
      <c r="O14" s="295"/>
      <c r="P14" s="295"/>
      <c r="Q14" s="295"/>
      <c r="R14" s="295"/>
      <c r="S14" s="295"/>
      <c r="T14" s="295"/>
      <c r="U14" s="295"/>
      <c r="V14" s="295"/>
      <c r="W14" s="482" t="s">
        <v>330</v>
      </c>
      <c r="X14" s="483">
        <v>4.1950000000000001E-2</v>
      </c>
      <c r="Y14" s="483">
        <v>4.9889999999999997E-2</v>
      </c>
      <c r="Z14" s="483">
        <v>5.7930000000000002E-2</v>
      </c>
      <c r="AA14" s="483">
        <v>0.10059999999999999</v>
      </c>
      <c r="AB14" s="483">
        <v>0.15629999999999999</v>
      </c>
      <c r="AC14" s="483">
        <v>0.18210000000000001</v>
      </c>
      <c r="AD14" s="483">
        <v>0.21970000000000001</v>
      </c>
      <c r="AE14" s="483">
        <v>0.27229999999999999</v>
      </c>
      <c r="AF14" s="483">
        <v>0.34150000000000003</v>
      </c>
      <c r="AG14" s="483">
        <v>0.39179999999999998</v>
      </c>
      <c r="AH14" s="484">
        <v>0.44519999999999998</v>
      </c>
    </row>
    <row r="15" spans="1:36" ht="16.5" thickBot="1">
      <c r="A15" s="295"/>
      <c r="B15" s="911"/>
      <c r="C15" s="425" t="s">
        <v>114</v>
      </c>
      <c r="D15" s="651">
        <f t="shared" ref="D15:N15" si="2">SUM(D8:D14)</f>
        <v>2360.9499999999998</v>
      </c>
      <c r="E15" s="652">
        <f t="shared" si="2"/>
        <v>2848.7200000000003</v>
      </c>
      <c r="F15" s="652">
        <f t="shared" si="2"/>
        <v>3626.33</v>
      </c>
      <c r="G15" s="652">
        <f t="shared" si="2"/>
        <v>4515.5200000000004</v>
      </c>
      <c r="H15" s="652">
        <f t="shared" si="2"/>
        <v>5455.7</v>
      </c>
      <c r="I15" s="652">
        <f t="shared" si="2"/>
        <v>6323.2999999999993</v>
      </c>
      <c r="J15" s="652">
        <f t="shared" si="2"/>
        <v>7081.4</v>
      </c>
      <c r="K15" s="652">
        <f t="shared" si="2"/>
        <v>7774.7365944505109</v>
      </c>
      <c r="L15" s="652">
        <f t="shared" si="2"/>
        <v>8398.0172393616249</v>
      </c>
      <c r="M15" s="652">
        <f t="shared" si="2"/>
        <v>9048.0112538721223</v>
      </c>
      <c r="N15" s="653">
        <f t="shared" si="2"/>
        <v>9693.4446738019087</v>
      </c>
      <c r="O15" s="295"/>
      <c r="P15" s="295"/>
      <c r="Q15" s="295"/>
      <c r="R15" s="295"/>
      <c r="S15" s="295"/>
      <c r="T15" s="295"/>
      <c r="U15" s="295"/>
      <c r="V15" s="295"/>
      <c r="W15" s="482" t="s">
        <v>331</v>
      </c>
      <c r="X15" s="483">
        <v>7.0690000000000003E-2</v>
      </c>
      <c r="Y15" s="483">
        <v>7.6730000000000007E-2</v>
      </c>
      <c r="Z15" s="483">
        <v>8.1750000000000003E-2</v>
      </c>
      <c r="AA15" s="483">
        <v>0.1444</v>
      </c>
      <c r="AB15" s="483">
        <v>0.1807</v>
      </c>
      <c r="AC15" s="483">
        <v>0.22600000000000001</v>
      </c>
      <c r="AD15" s="483">
        <v>0.2311</v>
      </c>
      <c r="AE15" s="483">
        <v>0.24</v>
      </c>
      <c r="AF15" s="483">
        <v>0.24610000000000001</v>
      </c>
      <c r="AG15" s="483">
        <v>0.31130000000000002</v>
      </c>
      <c r="AH15" s="484">
        <v>0.34060000000000001</v>
      </c>
    </row>
    <row r="16" spans="1:36" ht="37.15" customHeight="1" thickBot="1">
      <c r="A16" s="295"/>
      <c r="B16" s="252"/>
      <c r="C16" s="446" t="s">
        <v>332</v>
      </c>
      <c r="D16" s="389"/>
      <c r="E16" s="390">
        <f>E15/D15-1</f>
        <v>0.20659903852262884</v>
      </c>
      <c r="F16" s="390">
        <f t="shared" ref="F16:N16" si="3">F15/E15-1</f>
        <v>0.27296821028391682</v>
      </c>
      <c r="G16" s="390">
        <f t="shared" si="3"/>
        <v>0.24520382866424195</v>
      </c>
      <c r="H16" s="390">
        <f t="shared" si="3"/>
        <v>0.20821079299836986</v>
      </c>
      <c r="I16" s="390">
        <f t="shared" si="3"/>
        <v>0.15902633942482169</v>
      </c>
      <c r="J16" s="390">
        <f t="shared" si="3"/>
        <v>0.11988993089051614</v>
      </c>
      <c r="K16" s="390">
        <f t="shared" si="3"/>
        <v>9.7909536878373116E-2</v>
      </c>
      <c r="L16" s="390">
        <f t="shared" si="3"/>
        <v>8.0167429126280831E-2</v>
      </c>
      <c r="M16" s="390">
        <f t="shared" si="3"/>
        <v>7.7398509193808973E-2</v>
      </c>
      <c r="N16" s="391">
        <f t="shared" si="3"/>
        <v>7.1334285714285794E-2</v>
      </c>
      <c r="O16" s="295"/>
      <c r="P16" s="295"/>
      <c r="Q16" s="295"/>
      <c r="R16" s="295"/>
      <c r="S16" s="295"/>
      <c r="T16" s="295"/>
      <c r="U16" s="295"/>
      <c r="V16" s="295"/>
      <c r="W16" s="482" t="s">
        <v>333</v>
      </c>
      <c r="X16" s="483">
        <v>9.2310000000000003E-2</v>
      </c>
      <c r="Y16" s="483">
        <v>0.1211</v>
      </c>
      <c r="Z16" s="483">
        <v>0.1515</v>
      </c>
      <c r="AA16" s="483">
        <v>0.34960000000000002</v>
      </c>
      <c r="AB16" s="483">
        <v>0.54479999999999995</v>
      </c>
      <c r="AC16" s="483">
        <v>0.66659999999999997</v>
      </c>
      <c r="AD16" s="483">
        <v>0.84250000000000003</v>
      </c>
      <c r="AE16" s="483">
        <v>1.0960000000000001</v>
      </c>
      <c r="AF16" s="483">
        <v>1.458</v>
      </c>
      <c r="AG16" s="483">
        <v>1.6639999999999999</v>
      </c>
      <c r="AH16" s="484">
        <v>1.9410000000000001</v>
      </c>
    </row>
    <row r="17" spans="1:34" ht="16.5" thickBot="1">
      <c r="A17" s="295"/>
      <c r="B17" s="872" t="s">
        <v>334</v>
      </c>
      <c r="C17" s="873"/>
      <c r="D17" s="873"/>
      <c r="E17" s="873"/>
      <c r="F17" s="873"/>
      <c r="G17" s="873"/>
      <c r="H17" s="873"/>
      <c r="I17" s="873"/>
      <c r="J17" s="873"/>
      <c r="K17" s="873"/>
      <c r="L17" s="873"/>
      <c r="M17" s="873"/>
      <c r="N17" s="874"/>
      <c r="O17" s="295"/>
      <c r="P17" s="295"/>
      <c r="Q17" s="295"/>
      <c r="R17" s="295"/>
      <c r="S17" s="295"/>
      <c r="T17" s="295"/>
      <c r="U17" s="295"/>
      <c r="V17" s="295"/>
      <c r="W17" s="482" t="s">
        <v>335</v>
      </c>
      <c r="X17" s="483">
        <v>1.941E-2</v>
      </c>
      <c r="Y17" s="483">
        <v>2.367E-2</v>
      </c>
      <c r="Z17" s="483">
        <v>3.1109999999999999E-2</v>
      </c>
      <c r="AA17" s="483">
        <v>5.4969999999999998E-2</v>
      </c>
      <c r="AB17" s="483">
        <v>9.8680000000000004E-2</v>
      </c>
      <c r="AC17" s="483">
        <v>0.1171</v>
      </c>
      <c r="AD17" s="483">
        <v>0.14349999999999999</v>
      </c>
      <c r="AE17" s="483">
        <v>0.18010000000000001</v>
      </c>
      <c r="AF17" s="483">
        <v>0.2283</v>
      </c>
      <c r="AG17" s="483">
        <v>0.25979999999999998</v>
      </c>
      <c r="AH17" s="484">
        <v>0.29139999999999999</v>
      </c>
    </row>
    <row r="18" spans="1:34" ht="16.5" thickBot="1">
      <c r="A18" s="295"/>
      <c r="B18" s="580"/>
      <c r="C18" s="581"/>
      <c r="D18" s="579"/>
      <c r="E18" s="579"/>
      <c r="F18" s="447" t="s">
        <v>31</v>
      </c>
      <c r="G18" s="442" t="s">
        <v>32</v>
      </c>
      <c r="H18" s="442" t="s">
        <v>33</v>
      </c>
      <c r="I18" s="442" t="s">
        <v>34</v>
      </c>
      <c r="J18" s="442" t="s">
        <v>35</v>
      </c>
      <c r="K18" s="443" t="s">
        <v>36</v>
      </c>
      <c r="L18" s="444" t="s">
        <v>37</v>
      </c>
      <c r="M18" s="574"/>
      <c r="N18" s="575"/>
      <c r="O18" s="295"/>
      <c r="P18" s="295"/>
      <c r="Q18" s="295"/>
      <c r="R18" s="295"/>
      <c r="S18" s="295"/>
      <c r="T18" s="295"/>
      <c r="U18" s="295"/>
      <c r="V18" s="295"/>
      <c r="W18" s="482" t="s">
        <v>336</v>
      </c>
      <c r="X18" s="483">
        <v>0.23050000000000001</v>
      </c>
      <c r="Y18" s="483">
        <v>0.28860000000000002</v>
      </c>
      <c r="Z18" s="483">
        <v>0.3357</v>
      </c>
      <c r="AA18" s="483">
        <v>0.52790000000000004</v>
      </c>
      <c r="AB18" s="483">
        <v>0.73819999999999997</v>
      </c>
      <c r="AC18" s="483">
        <v>0.78969999999999996</v>
      </c>
      <c r="AD18" s="483">
        <v>0.93410000000000004</v>
      </c>
      <c r="AE18" s="483">
        <v>1.0980000000000001</v>
      </c>
      <c r="AF18" s="483">
        <v>1.2689999999999999</v>
      </c>
      <c r="AG18" s="483">
        <v>1.423</v>
      </c>
      <c r="AH18" s="484">
        <v>1.554</v>
      </c>
    </row>
    <row r="19" spans="1:34" ht="15.75">
      <c r="A19" s="295"/>
      <c r="B19" s="904" t="s">
        <v>337</v>
      </c>
      <c r="C19" s="384" t="s">
        <v>276</v>
      </c>
      <c r="D19" s="568"/>
      <c r="E19" s="568"/>
      <c r="F19" s="448">
        <f t="shared" ref="F19:J25" si="4">F8/E8-1</f>
        <v>0.17077562326869811</v>
      </c>
      <c r="G19" s="382">
        <f t="shared" si="4"/>
        <v>0.15012421625458416</v>
      </c>
      <c r="H19" s="382">
        <f t="shared" si="4"/>
        <v>0.12836864842624984</v>
      </c>
      <c r="I19" s="382">
        <f t="shared" si="4"/>
        <v>0.10300820419325429</v>
      </c>
      <c r="J19" s="382">
        <f t="shared" si="4"/>
        <v>8.0165289256198147E-2</v>
      </c>
      <c r="K19" s="439">
        <f>J19*(1+J26)</f>
        <v>6.6433737907178769E-2</v>
      </c>
      <c r="L19" s="445">
        <f t="shared" ref="K19:L25" si="5">K19*(1+K26)</f>
        <v>5.5054270660895632E-2</v>
      </c>
      <c r="M19" s="568"/>
      <c r="N19" s="576"/>
      <c r="O19" s="295"/>
      <c r="P19" s="295"/>
      <c r="Q19" s="295"/>
      <c r="R19" s="295"/>
      <c r="S19" s="295"/>
      <c r="T19" s="295"/>
      <c r="U19" s="295"/>
      <c r="V19" s="295"/>
      <c r="W19" s="482" t="s">
        <v>338</v>
      </c>
      <c r="X19" s="483">
        <v>8.2490000000000005E-4</v>
      </c>
      <c r="Y19" s="483">
        <v>1.0200000000000001E-3</v>
      </c>
      <c r="Z19" s="483">
        <v>1.2700000000000001E-3</v>
      </c>
      <c r="AA19" s="483">
        <v>2.3019999999999998E-3</v>
      </c>
      <c r="AB19" s="483">
        <v>3.7919999999999998E-3</v>
      </c>
      <c r="AC19" s="483">
        <v>4.5430000000000002E-3</v>
      </c>
      <c r="AD19" s="483">
        <v>5.5500000000000002E-3</v>
      </c>
      <c r="AE19" s="483">
        <v>6.796E-3</v>
      </c>
      <c r="AF19" s="483">
        <v>8.6680000000000004E-3</v>
      </c>
      <c r="AG19" s="483">
        <v>1.005E-2</v>
      </c>
      <c r="AH19" s="484">
        <v>1.149E-2</v>
      </c>
    </row>
    <row r="20" spans="1:34" ht="15.75">
      <c r="A20" s="295"/>
      <c r="B20" s="904"/>
      <c r="C20" s="384" t="s">
        <v>268</v>
      </c>
      <c r="D20" s="568"/>
      <c r="E20" s="568"/>
      <c r="F20" s="448">
        <f t="shared" si="4"/>
        <v>0.3842144452717795</v>
      </c>
      <c r="G20" s="382">
        <f t="shared" si="4"/>
        <v>0.32436793975255518</v>
      </c>
      <c r="H20" s="382">
        <f t="shared" si="4"/>
        <v>0.26401299756295704</v>
      </c>
      <c r="I20" s="382">
        <f t="shared" si="4"/>
        <v>0.19537275064267368</v>
      </c>
      <c r="J20" s="382">
        <f t="shared" si="4"/>
        <v>0.14032258064516112</v>
      </c>
      <c r="K20" s="439">
        <f t="shared" si="5"/>
        <v>0.10932564689349369</v>
      </c>
      <c r="L20" s="445">
        <f t="shared" si="5"/>
        <v>8.5175864167610887E-2</v>
      </c>
      <c r="M20" s="568"/>
      <c r="N20" s="576"/>
      <c r="O20" s="295"/>
      <c r="P20" s="295"/>
      <c r="Q20" s="295"/>
      <c r="R20" s="295"/>
      <c r="S20" s="295"/>
      <c r="T20" s="295"/>
      <c r="U20" s="295"/>
      <c r="V20" s="295"/>
      <c r="W20" s="482" t="s">
        <v>339</v>
      </c>
      <c r="X20" s="483">
        <v>8.8909999999999996E-3</v>
      </c>
      <c r="Y20" s="483">
        <v>1.064E-2</v>
      </c>
      <c r="Z20" s="483">
        <v>1.3520000000000001E-2</v>
      </c>
      <c r="AA20" s="483">
        <v>2.6689999999999998E-2</v>
      </c>
      <c r="AB20" s="483">
        <v>4.4990000000000002E-2</v>
      </c>
      <c r="AC20" s="483">
        <v>5.7599999999999998E-2</v>
      </c>
      <c r="AD20" s="483">
        <v>7.5079999999999994E-2</v>
      </c>
      <c r="AE20" s="483">
        <v>9.987E-2</v>
      </c>
      <c r="AF20" s="483">
        <v>0.1356</v>
      </c>
      <c r="AG20" s="483">
        <v>0.16289999999999999</v>
      </c>
      <c r="AH20" s="484">
        <v>0.193</v>
      </c>
    </row>
    <row r="21" spans="1:34" ht="15.75">
      <c r="A21" s="295"/>
      <c r="B21" s="904"/>
      <c r="C21" s="384" t="s">
        <v>279</v>
      </c>
      <c r="D21" s="568"/>
      <c r="E21" s="568"/>
      <c r="F21" s="448">
        <f t="shared" si="4"/>
        <v>0.34744947064485099</v>
      </c>
      <c r="G21" s="382">
        <f t="shared" si="4"/>
        <v>0.26071428571428568</v>
      </c>
      <c r="H21" s="382">
        <f t="shared" si="4"/>
        <v>0.19320113314447585</v>
      </c>
      <c r="I21" s="382">
        <f t="shared" si="4"/>
        <v>0.13580246913580241</v>
      </c>
      <c r="J21" s="382">
        <f t="shared" si="4"/>
        <v>9.3645484949832936E-2</v>
      </c>
      <c r="K21" s="439">
        <f>J21*(1+J28)</f>
        <v>6.7515819291335433E-2</v>
      </c>
      <c r="L21" s="445">
        <f t="shared" si="5"/>
        <v>4.8677048947124851E-2</v>
      </c>
      <c r="M21" s="568"/>
      <c r="N21" s="576"/>
      <c r="O21" s="295"/>
      <c r="P21" s="295"/>
      <c r="Q21" s="295"/>
      <c r="R21" s="295"/>
      <c r="S21" s="295"/>
      <c r="T21" s="295"/>
      <c r="U21" s="295"/>
      <c r="V21" s="295"/>
      <c r="W21" s="482" t="s">
        <v>340</v>
      </c>
      <c r="X21" s="483">
        <v>1.7210000000000001E-3</v>
      </c>
      <c r="Y21" s="483">
        <v>2.5600000000000002E-3</v>
      </c>
      <c r="Z21" s="483">
        <v>3.4640000000000001E-3</v>
      </c>
      <c r="AA21" s="483">
        <v>7.1079999999999997E-3</v>
      </c>
      <c r="AB21" s="483">
        <v>1.18E-2</v>
      </c>
      <c r="AC21" s="483">
        <v>1.508E-2</v>
      </c>
      <c r="AD21" s="483">
        <v>1.9470000000000001E-2</v>
      </c>
      <c r="AE21" s="483">
        <v>2.5860000000000001E-2</v>
      </c>
      <c r="AF21" s="483">
        <v>3.4939999999999999E-2</v>
      </c>
      <c r="AG21" s="483">
        <v>4.4560000000000002E-2</v>
      </c>
      <c r="AH21" s="484">
        <v>5.4640000000000001E-2</v>
      </c>
    </row>
    <row r="22" spans="1:34" ht="15.75">
      <c r="A22" s="295"/>
      <c r="B22" s="905"/>
      <c r="C22" s="243" t="s">
        <v>274</v>
      </c>
      <c r="E22" s="568"/>
      <c r="F22" s="448">
        <f t="shared" si="4"/>
        <v>0.24142156862745079</v>
      </c>
      <c r="G22" s="382">
        <f t="shared" si="4"/>
        <v>0.20236920039486694</v>
      </c>
      <c r="H22" s="382">
        <f t="shared" si="4"/>
        <v>0.16543513957307043</v>
      </c>
      <c r="I22" s="382">
        <f t="shared" si="4"/>
        <v>0.12610073969707658</v>
      </c>
      <c r="J22" s="382">
        <f t="shared" si="4"/>
        <v>9.8529871754770015E-2</v>
      </c>
      <c r="K22" s="439">
        <f t="shared" si="5"/>
        <v>7.8807313645110302E-2</v>
      </c>
      <c r="L22" s="445">
        <f t="shared" si="5"/>
        <v>6.3032586700369084E-2</v>
      </c>
      <c r="M22" s="568"/>
      <c r="N22" s="576"/>
      <c r="O22" s="295"/>
      <c r="P22" s="295"/>
      <c r="Q22" s="295"/>
      <c r="R22" s="295"/>
      <c r="S22" s="295"/>
      <c r="T22" s="295"/>
      <c r="U22" s="295"/>
      <c r="V22" s="295"/>
      <c r="W22" s="482" t="s">
        <v>341</v>
      </c>
      <c r="X22" s="483">
        <v>4.5469999999999997E-2</v>
      </c>
      <c r="Y22" s="483">
        <v>5.509E-2</v>
      </c>
      <c r="Z22" s="483">
        <v>6.7830000000000001E-2</v>
      </c>
      <c r="AA22" s="483">
        <v>0.13969999999999999</v>
      </c>
      <c r="AB22" s="483">
        <v>0.22570000000000001</v>
      </c>
      <c r="AC22" s="483">
        <v>0.27060000000000001</v>
      </c>
      <c r="AD22" s="483">
        <v>0.33479999999999999</v>
      </c>
      <c r="AE22" s="483">
        <v>0.42670000000000002</v>
      </c>
      <c r="AF22" s="483">
        <v>0.55789999999999995</v>
      </c>
      <c r="AG22" s="483">
        <v>0.65690000000000004</v>
      </c>
      <c r="AH22" s="484">
        <v>0.76429999999999998</v>
      </c>
    </row>
    <row r="23" spans="1:34" ht="15.75">
      <c r="A23" s="295"/>
      <c r="B23" s="905"/>
      <c r="C23" s="243" t="s">
        <v>277</v>
      </c>
      <c r="E23" s="568"/>
      <c r="F23" s="448">
        <f t="shared" si="4"/>
        <v>0.30332922318125743</v>
      </c>
      <c r="G23" s="382">
        <f t="shared" si="4"/>
        <v>0.23604541154210046</v>
      </c>
      <c r="H23" s="382">
        <f t="shared" si="4"/>
        <v>0.18561040949100649</v>
      </c>
      <c r="I23" s="382">
        <f t="shared" si="4"/>
        <v>0.14170432537120714</v>
      </c>
      <c r="J23" s="382">
        <f t="shared" si="4"/>
        <v>0.10602205258693798</v>
      </c>
      <c r="K23" s="439">
        <f t="shared" si="5"/>
        <v>8.1535148781881089E-2</v>
      </c>
      <c r="L23" s="445">
        <f t="shared" si="5"/>
        <v>6.27037519522851E-2</v>
      </c>
      <c r="M23" s="568"/>
      <c r="N23" s="576"/>
      <c r="O23" s="295"/>
      <c r="P23" s="295"/>
      <c r="Q23" s="295"/>
      <c r="R23" s="295"/>
      <c r="S23" s="295"/>
      <c r="T23" s="295"/>
      <c r="U23" s="295"/>
      <c r="V23" s="295"/>
      <c r="W23" s="482" t="s">
        <v>342</v>
      </c>
      <c r="X23" s="483">
        <v>8.2159999999999993E-3</v>
      </c>
      <c r="Y23" s="483">
        <v>1.1050000000000001E-2</v>
      </c>
      <c r="Z23" s="483">
        <v>1.4630000000000001E-2</v>
      </c>
      <c r="AA23" s="483">
        <v>2.6540000000000001E-2</v>
      </c>
      <c r="AB23" s="483">
        <v>4.394E-2</v>
      </c>
      <c r="AC23" s="483">
        <v>5.0529999999999999E-2</v>
      </c>
      <c r="AD23" s="483">
        <v>5.9700000000000003E-2</v>
      </c>
      <c r="AE23" s="483">
        <v>7.2340000000000002E-2</v>
      </c>
      <c r="AF23" s="483">
        <v>8.9649999999999994E-2</v>
      </c>
      <c r="AG23" s="483">
        <v>0.1028</v>
      </c>
      <c r="AH23" s="484">
        <v>0.11609999999999999</v>
      </c>
    </row>
    <row r="24" spans="1:34" ht="15.75">
      <c r="A24" s="295"/>
      <c r="B24" s="904"/>
      <c r="C24" s="384" t="s">
        <v>327</v>
      </c>
      <c r="D24" s="568"/>
      <c r="E24" s="568"/>
      <c r="F24" s="448">
        <f t="shared" si="4"/>
        <v>0.26341577228184776</v>
      </c>
      <c r="G24" s="382">
        <f t="shared" si="4"/>
        <v>0.30101569713758081</v>
      </c>
      <c r="H24" s="382">
        <f t="shared" si="4"/>
        <v>0.32505322924059632</v>
      </c>
      <c r="I24" s="382">
        <f t="shared" si="4"/>
        <v>0.17139796464916968</v>
      </c>
      <c r="J24" s="382">
        <f t="shared" si="4"/>
        <v>0.16003657978966612</v>
      </c>
      <c r="K24" s="439">
        <f t="shared" si="5"/>
        <v>0.14737768620217237</v>
      </c>
      <c r="L24" s="445">
        <f t="shared" si="5"/>
        <v>0.13572011110742635</v>
      </c>
      <c r="M24" s="568"/>
      <c r="N24" s="576"/>
      <c r="O24" s="295"/>
      <c r="P24" s="295"/>
      <c r="Q24" s="295"/>
      <c r="R24" s="295"/>
      <c r="S24" s="295"/>
      <c r="T24" s="295"/>
      <c r="U24" s="295"/>
      <c r="V24" s="295"/>
      <c r="W24" s="482" t="s">
        <v>343</v>
      </c>
      <c r="X24" s="483">
        <v>7.8619999999999992E-3</v>
      </c>
      <c r="Y24" s="483">
        <v>9.7459999999999995E-3</v>
      </c>
      <c r="Z24" s="483">
        <v>1.2189999999999999E-2</v>
      </c>
      <c r="AA24" s="483">
        <v>2.274E-2</v>
      </c>
      <c r="AB24" s="483">
        <v>3.9120000000000002E-2</v>
      </c>
      <c r="AC24" s="483">
        <v>4.897E-2</v>
      </c>
      <c r="AD24" s="483">
        <v>6.2440000000000002E-2</v>
      </c>
      <c r="AE24" s="483">
        <v>8.1339999999999996E-2</v>
      </c>
      <c r="AF24" s="483">
        <v>0.10829999999999999</v>
      </c>
      <c r="AG24" s="483">
        <v>0.13669999999999999</v>
      </c>
      <c r="AH24" s="484">
        <v>0.16650000000000001</v>
      </c>
    </row>
    <row r="25" spans="1:34" ht="16.5" thickBot="1">
      <c r="A25" s="295"/>
      <c r="B25" s="906"/>
      <c r="C25" s="384" t="s">
        <v>275</v>
      </c>
      <c r="D25" s="568"/>
      <c r="E25" s="568"/>
      <c r="F25" s="448">
        <f t="shared" si="4"/>
        <v>0.22641509433962259</v>
      </c>
      <c r="G25" s="382">
        <f t="shared" si="4"/>
        <v>0.21282051282051273</v>
      </c>
      <c r="H25" s="382">
        <f t="shared" si="4"/>
        <v>0.18350951374207192</v>
      </c>
      <c r="I25" s="382">
        <f t="shared" si="4"/>
        <v>0.14719542693819232</v>
      </c>
      <c r="J25" s="382">
        <f t="shared" si="4"/>
        <v>0.11242603550295849</v>
      </c>
      <c r="K25" s="439">
        <f t="shared" si="5"/>
        <v>9.4666425468421925E-2</v>
      </c>
      <c r="L25" s="445">
        <f t="shared" si="5"/>
        <v>7.9712248776507427E-2</v>
      </c>
      <c r="M25" s="568"/>
      <c r="N25" s="576"/>
      <c r="O25" s="295"/>
      <c r="P25" s="295"/>
      <c r="Q25" s="295"/>
      <c r="R25" s="295"/>
      <c r="S25" s="295"/>
      <c r="T25" s="295"/>
      <c r="U25" s="295"/>
      <c r="V25" s="295"/>
      <c r="W25" s="482" t="s">
        <v>344</v>
      </c>
      <c r="X25" s="483">
        <v>1.667</v>
      </c>
      <c r="Y25" s="483">
        <v>1.6879999999999999</v>
      </c>
      <c r="Z25" s="483">
        <v>1.907</v>
      </c>
      <c r="AA25" s="483">
        <v>2.448</v>
      </c>
      <c r="AB25" s="483">
        <v>3.4889999999999999</v>
      </c>
      <c r="AC25" s="483">
        <v>4.2460000000000004</v>
      </c>
      <c r="AD25" s="483">
        <v>5.1310000000000002</v>
      </c>
      <c r="AE25" s="483">
        <v>6.1470000000000002</v>
      </c>
      <c r="AF25" s="483">
        <v>7.1349999999999998</v>
      </c>
      <c r="AG25" s="483">
        <v>8.0329999999999995</v>
      </c>
      <c r="AH25" s="484">
        <v>8.85</v>
      </c>
    </row>
    <row r="26" spans="1:34" ht="57.4" customHeight="1">
      <c r="A26" s="295"/>
      <c r="B26" s="907" t="s">
        <v>345</v>
      </c>
      <c r="C26" s="383" t="s">
        <v>276</v>
      </c>
      <c r="D26" s="569"/>
      <c r="E26" s="570"/>
      <c r="F26" s="449">
        <f>G19/F19-1</f>
        <v>-0.12092713596261362</v>
      </c>
      <c r="G26" s="371">
        <f t="shared" ref="F26:I32" si="6">H19/G19-1</f>
        <v>-0.14491711178322308</v>
      </c>
      <c r="H26" s="371">
        <f t="shared" si="6"/>
        <v>-0.19755948624453734</v>
      </c>
      <c r="I26" s="371">
        <f>J19/I19-1</f>
        <v>-0.22175820961018233</v>
      </c>
      <c r="J26" s="440">
        <f t="shared" ref="J26:J32" si="7">AVERAGE(F26:I26)</f>
        <v>-0.17129048590013909</v>
      </c>
      <c r="K26" s="440">
        <f>AVERAGE(F26:J26)</f>
        <v>-0.17129048590013909</v>
      </c>
      <c r="L26" s="372"/>
      <c r="M26" s="570"/>
      <c r="N26" s="577"/>
      <c r="O26" s="295"/>
      <c r="P26" s="295"/>
      <c r="Q26" s="295"/>
      <c r="R26" s="295"/>
      <c r="S26" s="295"/>
      <c r="T26" s="295"/>
      <c r="U26" s="295"/>
      <c r="V26" s="295"/>
      <c r="W26" s="482" t="s">
        <v>346</v>
      </c>
      <c r="X26" s="483">
        <v>1.5219999999999999E-2</v>
      </c>
      <c r="Y26" s="483">
        <v>1.5630000000000002E-2</v>
      </c>
      <c r="Z26" s="483">
        <v>1.6619999999999999E-2</v>
      </c>
      <c r="AA26" s="483">
        <v>2.5319999999999999E-2</v>
      </c>
      <c r="AB26" s="483">
        <v>3.2190000000000003E-2</v>
      </c>
      <c r="AC26" s="483">
        <v>3.9559999999999998E-2</v>
      </c>
      <c r="AD26" s="483">
        <v>4.0030000000000003E-2</v>
      </c>
      <c r="AE26" s="483">
        <v>3.9989999999999998E-2</v>
      </c>
      <c r="AF26" s="483">
        <v>4.0640000000000003E-2</v>
      </c>
      <c r="AG26" s="483">
        <v>4.5159999999999999E-2</v>
      </c>
      <c r="AH26" s="484">
        <v>4.895E-2</v>
      </c>
    </row>
    <row r="27" spans="1:34" ht="15.75">
      <c r="A27" s="295"/>
      <c r="B27" s="908"/>
      <c r="C27" s="384" t="s">
        <v>268</v>
      </c>
      <c r="D27" s="571"/>
      <c r="E27" s="568"/>
      <c r="F27" s="448">
        <f t="shared" si="6"/>
        <v>-0.15576328858976407</v>
      </c>
      <c r="G27" s="382">
        <f t="shared" si="6"/>
        <v>-0.18606938230590864</v>
      </c>
      <c r="H27" s="382">
        <f t="shared" si="6"/>
        <v>-0.25998813525805786</v>
      </c>
      <c r="I27" s="382">
        <f>J20/I20-1</f>
        <v>-0.28176994906621533</v>
      </c>
      <c r="J27" s="439">
        <f t="shared" si="7"/>
        <v>-0.22089768880498648</v>
      </c>
      <c r="K27" s="439">
        <f t="shared" ref="K27:K32" si="8">AVERAGE(F27:J27)</f>
        <v>-0.22089768880498645</v>
      </c>
      <c r="L27" s="314"/>
      <c r="M27" s="568"/>
      <c r="N27" s="576"/>
      <c r="O27" s="295"/>
      <c r="P27" s="295"/>
      <c r="Q27" s="295"/>
      <c r="R27" s="295"/>
      <c r="S27" s="295"/>
      <c r="T27" s="295"/>
      <c r="U27" s="295"/>
      <c r="V27" s="295"/>
      <c r="W27" s="482" t="s">
        <v>347</v>
      </c>
      <c r="X27" s="483">
        <v>3.9559999999999998E-2</v>
      </c>
      <c r="Y27" s="483">
        <v>5.1180000000000003E-2</v>
      </c>
      <c r="Z27" s="483">
        <v>6.293E-2</v>
      </c>
      <c r="AA27" s="483">
        <v>0.1116</v>
      </c>
      <c r="AB27" s="483">
        <v>0.17319999999999999</v>
      </c>
      <c r="AC27" s="483">
        <v>0.1865</v>
      </c>
      <c r="AD27" s="483">
        <v>0.21690000000000001</v>
      </c>
      <c r="AE27" s="483">
        <v>0.2515</v>
      </c>
      <c r="AF27" s="483">
        <v>0.28910000000000002</v>
      </c>
      <c r="AG27" s="483">
        <v>0.3261</v>
      </c>
      <c r="AH27" s="484">
        <v>0.36059999999999998</v>
      </c>
    </row>
    <row r="28" spans="1:34" ht="15.75">
      <c r="A28" s="295"/>
      <c r="B28" s="908"/>
      <c r="C28" s="384" t="s">
        <v>279</v>
      </c>
      <c r="D28" s="571"/>
      <c r="E28" s="568"/>
      <c r="F28" s="448">
        <f t="shared" si="6"/>
        <v>-0.24963395330431393</v>
      </c>
      <c r="G28" s="382">
        <f t="shared" si="6"/>
        <v>-0.25895455780201038</v>
      </c>
      <c r="H28" s="382">
        <f t="shared" si="6"/>
        <v>-0.29709279171644765</v>
      </c>
      <c r="I28" s="382">
        <f t="shared" si="6"/>
        <v>-0.31042870173304804</v>
      </c>
      <c r="J28" s="439">
        <f t="shared" si="7"/>
        <v>-0.27902750113895503</v>
      </c>
      <c r="K28" s="439">
        <f t="shared" si="8"/>
        <v>-0.27902750113895503</v>
      </c>
      <c r="L28" s="314"/>
      <c r="M28" s="568"/>
      <c r="N28" s="576"/>
      <c r="O28" s="295"/>
      <c r="P28" s="295"/>
      <c r="Q28" s="295"/>
      <c r="R28" s="295"/>
      <c r="S28" s="295"/>
      <c r="T28" s="295"/>
      <c r="U28" s="295"/>
      <c r="V28" s="295"/>
      <c r="W28" s="482" t="s">
        <v>348</v>
      </c>
      <c r="X28" s="483">
        <v>3.6289999999999998E-3</v>
      </c>
      <c r="Y28" s="483">
        <v>4.2820000000000002E-3</v>
      </c>
      <c r="Z28" s="483">
        <v>5.1830000000000001E-3</v>
      </c>
      <c r="AA28" s="483">
        <v>1.0109999999999999E-2</v>
      </c>
      <c r="AB28" s="483">
        <v>1.617E-2</v>
      </c>
      <c r="AC28" s="483">
        <v>1.9689999999999999E-2</v>
      </c>
      <c r="AD28" s="483">
        <v>2.4590000000000001E-2</v>
      </c>
      <c r="AE28" s="483">
        <v>3.1480000000000001E-2</v>
      </c>
      <c r="AF28" s="483">
        <v>4.1320000000000003E-2</v>
      </c>
      <c r="AG28" s="483">
        <v>4.8520000000000001E-2</v>
      </c>
      <c r="AH28" s="484">
        <v>5.6320000000000002E-2</v>
      </c>
    </row>
    <row r="29" spans="1:34" ht="15.75">
      <c r="A29" s="295"/>
      <c r="B29" s="908"/>
      <c r="C29" s="384" t="s">
        <v>274</v>
      </c>
      <c r="D29" s="571"/>
      <c r="E29" s="568"/>
      <c r="F29" s="448">
        <f t="shared" si="6"/>
        <v>-0.16176006333902759</v>
      </c>
      <c r="G29" s="382">
        <f t="shared" si="6"/>
        <v>-0.18250831030477965</v>
      </c>
      <c r="H29" s="382">
        <f t="shared" si="6"/>
        <v>-0.23776327071444447</v>
      </c>
      <c r="I29" s="382">
        <f t="shared" si="6"/>
        <v>-0.21864160359834706</v>
      </c>
      <c r="J29" s="439">
        <f t="shared" si="7"/>
        <v>-0.20016831198914969</v>
      </c>
      <c r="K29" s="439">
        <f t="shared" si="8"/>
        <v>-0.20016831198914969</v>
      </c>
      <c r="L29" s="314"/>
      <c r="M29" s="568"/>
      <c r="N29" s="576"/>
      <c r="O29" s="295"/>
      <c r="P29" s="295"/>
      <c r="Q29" s="295"/>
      <c r="R29" s="295"/>
      <c r="S29" s="295"/>
      <c r="T29" s="295"/>
      <c r="U29" s="295"/>
      <c r="V29" s="295"/>
      <c r="W29" s="482" t="s">
        <v>349</v>
      </c>
      <c r="X29" s="483">
        <v>5.3589999999999996E-4</v>
      </c>
      <c r="Y29" s="483">
        <v>6.7389999999999995E-4</v>
      </c>
      <c r="Z29" s="483">
        <v>9.2380000000000001E-4</v>
      </c>
      <c r="AA29" s="483">
        <v>1.8190000000000001E-3</v>
      </c>
      <c r="AB29" s="483">
        <v>3.3279999999999998E-3</v>
      </c>
      <c r="AC29" s="483">
        <v>4.516E-3</v>
      </c>
      <c r="AD29" s="483">
        <v>6.4270000000000004E-3</v>
      </c>
      <c r="AE29" s="483">
        <v>9.1920000000000005E-3</v>
      </c>
      <c r="AF29" s="483">
        <v>1.355E-2</v>
      </c>
      <c r="AG29" s="483">
        <v>1.721E-2</v>
      </c>
      <c r="AH29" s="484">
        <v>2.1260000000000001E-2</v>
      </c>
    </row>
    <row r="30" spans="1:34" ht="15.75">
      <c r="A30" s="295"/>
      <c r="B30" s="908"/>
      <c r="C30" s="384" t="s">
        <v>277</v>
      </c>
      <c r="D30" s="571"/>
      <c r="E30" s="568"/>
      <c r="F30" s="448">
        <f t="shared" si="6"/>
        <v>-0.2218177692656762</v>
      </c>
      <c r="G30" s="382">
        <f t="shared" si="6"/>
        <v>-0.21366652171545608</v>
      </c>
      <c r="H30" s="382">
        <f t="shared" si="6"/>
        <v>-0.23654968619594996</v>
      </c>
      <c r="I30" s="382">
        <f t="shared" si="6"/>
        <v>-0.25180792958010467</v>
      </c>
      <c r="J30" s="439">
        <f t="shared" si="7"/>
        <v>-0.23096047668929673</v>
      </c>
      <c r="K30" s="439">
        <f t="shared" si="8"/>
        <v>-0.2309604766892967</v>
      </c>
      <c r="L30" s="314"/>
      <c r="M30" s="568"/>
      <c r="N30" s="576"/>
      <c r="O30" s="295"/>
      <c r="P30" s="295"/>
      <c r="Q30" s="295"/>
      <c r="R30" s="295"/>
      <c r="S30" s="295"/>
      <c r="T30" s="295"/>
      <c r="U30" s="295"/>
      <c r="V30" s="295"/>
      <c r="W30" s="482" t="s">
        <v>327</v>
      </c>
      <c r="X30" s="483">
        <v>1.427E-2</v>
      </c>
      <c r="Y30" s="483">
        <v>1.8790000000000001E-2</v>
      </c>
      <c r="Z30" s="483">
        <v>2.3910000000000001E-2</v>
      </c>
      <c r="AA30" s="483">
        <v>4.3819999999999998E-2</v>
      </c>
      <c r="AB30" s="483">
        <v>6.9889999999999994E-2</v>
      </c>
      <c r="AC30" s="483">
        <v>8.5720000000000005E-2</v>
      </c>
      <c r="AD30" s="483">
        <v>0.10829999999999999</v>
      </c>
      <c r="AE30" s="483">
        <v>0.1409</v>
      </c>
      <c r="AF30" s="483">
        <v>0.1867</v>
      </c>
      <c r="AG30" s="483">
        <v>0.21870000000000001</v>
      </c>
      <c r="AH30" s="484">
        <v>0.25369999999999998</v>
      </c>
    </row>
    <row r="31" spans="1:34" ht="15.75">
      <c r="A31" s="295"/>
      <c r="B31" s="908"/>
      <c r="C31" s="384" t="s">
        <v>327</v>
      </c>
      <c r="D31" s="571"/>
      <c r="E31" s="568"/>
      <c r="F31" s="448">
        <f t="shared" si="6"/>
        <v>0.14273983873487328</v>
      </c>
      <c r="G31" s="382">
        <f t="shared" si="6"/>
        <v>7.9854746219526929E-2</v>
      </c>
      <c r="H31" s="382">
        <f t="shared" si="6"/>
        <v>-0.47270800831729265</v>
      </c>
      <c r="I31" s="382">
        <f t="shared" si="6"/>
        <v>-6.6286579789666122E-2</v>
      </c>
      <c r="J31" s="439">
        <f t="shared" si="7"/>
        <v>-7.9100000788139641E-2</v>
      </c>
      <c r="K31" s="439">
        <f t="shared" si="8"/>
        <v>-7.9100000788139641E-2</v>
      </c>
      <c r="L31" s="314"/>
      <c r="M31" s="568"/>
      <c r="N31" s="576"/>
      <c r="O31" s="295"/>
      <c r="P31" s="295"/>
      <c r="Q31" s="295"/>
      <c r="R31" s="295"/>
      <c r="S31" s="295"/>
      <c r="T31" s="295"/>
      <c r="U31" s="295"/>
      <c r="V31" s="295"/>
      <c r="W31" s="482" t="s">
        <v>350</v>
      </c>
      <c r="X31" s="483">
        <v>3.7260000000000001E-3</v>
      </c>
      <c r="Y31" s="483">
        <v>5.0090000000000004E-3</v>
      </c>
      <c r="Z31" s="483">
        <v>6.6270000000000001E-3</v>
      </c>
      <c r="AA31" s="483">
        <v>1.2919999999999999E-2</v>
      </c>
      <c r="AB31" s="483">
        <v>2.189E-2</v>
      </c>
      <c r="AC31" s="483">
        <v>2.8060000000000002E-2</v>
      </c>
      <c r="AD31" s="483">
        <v>3.6790000000000003E-2</v>
      </c>
      <c r="AE31" s="483">
        <v>4.9250000000000002E-2</v>
      </c>
      <c r="AF31" s="483">
        <v>6.6500000000000004E-2</v>
      </c>
      <c r="AG31" s="483">
        <v>7.9570000000000002E-2</v>
      </c>
      <c r="AH31" s="484">
        <v>9.4119999999999995E-2</v>
      </c>
    </row>
    <row r="32" spans="1:34" ht="16.5" thickBot="1">
      <c r="A32" s="295"/>
      <c r="B32" s="909"/>
      <c r="C32" s="385" t="s">
        <v>275</v>
      </c>
      <c r="D32" s="572"/>
      <c r="E32" s="573"/>
      <c r="F32" s="450">
        <f t="shared" si="6"/>
        <v>-6.0042735042735274E-2</v>
      </c>
      <c r="G32" s="374">
        <f t="shared" si="6"/>
        <v>-0.13772638121195091</v>
      </c>
      <c r="H32" s="374">
        <f t="shared" si="6"/>
        <v>-0.1978866711778231</v>
      </c>
      <c r="I32" s="374">
        <f t="shared" si="6"/>
        <v>-0.23621244326995006</v>
      </c>
      <c r="J32" s="441">
        <f t="shared" si="7"/>
        <v>-0.15796705767561484</v>
      </c>
      <c r="K32" s="441">
        <f t="shared" si="8"/>
        <v>-0.15796705767561484</v>
      </c>
      <c r="L32" s="375"/>
      <c r="M32" s="573"/>
      <c r="N32" s="578"/>
      <c r="O32" s="295"/>
      <c r="P32" s="295"/>
      <c r="Q32" s="295"/>
      <c r="R32" s="295"/>
      <c r="S32" s="295"/>
      <c r="T32" s="295"/>
      <c r="U32" s="295"/>
      <c r="V32" s="295"/>
      <c r="W32" s="482" t="s">
        <v>351</v>
      </c>
      <c r="X32" s="483">
        <v>1.091</v>
      </c>
      <c r="Y32" s="483">
        <v>1.343</v>
      </c>
      <c r="Z32" s="483">
        <v>1.6679999999999999</v>
      </c>
      <c r="AA32" s="483">
        <v>2.694</v>
      </c>
      <c r="AB32" s="483">
        <v>4.266</v>
      </c>
      <c r="AC32" s="483">
        <v>4.7939999999999996</v>
      </c>
      <c r="AD32" s="483">
        <v>5.8310000000000004</v>
      </c>
      <c r="AE32" s="483">
        <v>6.9710000000000001</v>
      </c>
      <c r="AF32" s="483">
        <v>8.1300000000000008</v>
      </c>
      <c r="AG32" s="483">
        <v>9.1609999999999996</v>
      </c>
      <c r="AH32" s="484">
        <v>10.039999999999999</v>
      </c>
    </row>
    <row r="33" spans="1:34" ht="16.5" thickBot="1">
      <c r="A33" s="295"/>
      <c r="B33" s="295"/>
      <c r="C33" s="295"/>
      <c r="D33" s="295"/>
      <c r="E33" s="295"/>
      <c r="F33" s="295"/>
      <c r="G33" s="295"/>
      <c r="H33" s="295"/>
      <c r="I33" s="295"/>
      <c r="J33" s="295"/>
      <c r="K33" s="295"/>
      <c r="L33" s="295"/>
      <c r="M33" s="295"/>
      <c r="N33" s="295"/>
      <c r="O33" s="295"/>
      <c r="P33" s="295"/>
      <c r="Q33" s="295"/>
      <c r="R33" s="295"/>
      <c r="S33" s="295"/>
      <c r="T33" s="295"/>
      <c r="U33" s="295"/>
      <c r="V33" s="295"/>
      <c r="W33" s="482" t="s">
        <v>352</v>
      </c>
      <c r="X33" s="483">
        <v>3.4559999999999999E-3</v>
      </c>
      <c r="Y33" s="483">
        <v>4.3620000000000004E-3</v>
      </c>
      <c r="Z33" s="483">
        <v>5.79E-3</v>
      </c>
      <c r="AA33" s="483">
        <v>1.376E-2</v>
      </c>
      <c r="AB33" s="483">
        <v>2.4029999999999999E-2</v>
      </c>
      <c r="AC33" s="483">
        <v>3.1820000000000001E-2</v>
      </c>
      <c r="AD33" s="483">
        <v>4.274E-2</v>
      </c>
      <c r="AE33" s="483">
        <v>5.824E-2</v>
      </c>
      <c r="AF33" s="483">
        <v>8.1369999999999998E-2</v>
      </c>
      <c r="AG33" s="483">
        <v>0.1003</v>
      </c>
      <c r="AH33" s="484">
        <v>0.121</v>
      </c>
    </row>
    <row r="34" spans="1:34" ht="15.75">
      <c r="A34" s="295"/>
      <c r="B34" s="295"/>
      <c r="C34" s="868" t="s">
        <v>353</v>
      </c>
      <c r="D34" s="869"/>
      <c r="E34" s="869"/>
      <c r="F34" s="869"/>
      <c r="G34" s="869"/>
      <c r="H34" s="869"/>
      <c r="I34" s="869"/>
      <c r="J34" s="869"/>
      <c r="K34" s="869"/>
      <c r="L34" s="869"/>
      <c r="M34" s="870"/>
      <c r="N34" s="295"/>
      <c r="O34" s="295"/>
      <c r="P34" s="295"/>
      <c r="Q34" s="295"/>
      <c r="R34" s="295"/>
      <c r="S34" s="295"/>
      <c r="T34" s="295"/>
      <c r="U34" s="295"/>
      <c r="V34" s="295"/>
      <c r="W34" s="482" t="s">
        <v>354</v>
      </c>
      <c r="X34" s="483">
        <v>0.21629999999999999</v>
      </c>
      <c r="Y34" s="483">
        <v>0.25119999999999998</v>
      </c>
      <c r="Z34" s="483">
        <v>0.27239999999999998</v>
      </c>
      <c r="AA34" s="483">
        <v>0.3856</v>
      </c>
      <c r="AB34" s="483">
        <v>0.56859999999999999</v>
      </c>
      <c r="AC34" s="483">
        <v>0.58879999999999999</v>
      </c>
      <c r="AD34" s="483">
        <v>0.71150000000000002</v>
      </c>
      <c r="AE34" s="483">
        <v>0.84819999999999995</v>
      </c>
      <c r="AF34" s="483">
        <v>0.98960000000000004</v>
      </c>
      <c r="AG34" s="483">
        <v>1.121</v>
      </c>
      <c r="AH34" s="484">
        <v>1.238</v>
      </c>
    </row>
    <row r="35" spans="1:34" ht="15.75">
      <c r="A35" s="295"/>
      <c r="B35" s="295"/>
      <c r="C35" s="710"/>
      <c r="D35" s="708" t="s">
        <v>30</v>
      </c>
      <c r="E35" s="708" t="s">
        <v>31</v>
      </c>
      <c r="F35" s="708" t="s">
        <v>32</v>
      </c>
      <c r="G35" s="708" t="s">
        <v>33</v>
      </c>
      <c r="H35" s="709" t="s">
        <v>34</v>
      </c>
      <c r="I35" s="709" t="s">
        <v>35</v>
      </c>
      <c r="J35" s="709" t="s">
        <v>36</v>
      </c>
      <c r="K35" s="709" t="s">
        <v>37</v>
      </c>
      <c r="L35" s="709" t="s">
        <v>38</v>
      </c>
      <c r="M35" s="711" t="s">
        <v>39</v>
      </c>
      <c r="N35" s="295"/>
      <c r="O35" s="295"/>
      <c r="P35" s="295"/>
      <c r="Q35" s="295"/>
      <c r="R35" s="490"/>
      <c r="S35" s="490"/>
      <c r="T35" s="490"/>
      <c r="U35" s="490"/>
      <c r="V35" s="295"/>
      <c r="W35" s="482" t="s">
        <v>355</v>
      </c>
      <c r="X35" s="483">
        <v>39.950000000000003</v>
      </c>
      <c r="Y35" s="483">
        <v>49.95</v>
      </c>
      <c r="Z35" s="483">
        <v>68.73</v>
      </c>
      <c r="AA35" s="483">
        <v>116.9</v>
      </c>
      <c r="AB35" s="483">
        <v>161.80000000000001</v>
      </c>
      <c r="AC35" s="483">
        <v>171</v>
      </c>
      <c r="AD35" s="483">
        <v>202.3</v>
      </c>
      <c r="AE35" s="483">
        <v>237.1</v>
      </c>
      <c r="AF35" s="483">
        <v>272.10000000000002</v>
      </c>
      <c r="AG35" s="483">
        <v>305.8</v>
      </c>
      <c r="AH35" s="484">
        <v>336.6</v>
      </c>
    </row>
    <row r="36" spans="1:34" ht="27" customHeight="1" thickBot="1">
      <c r="A36" s="295"/>
      <c r="B36" s="295"/>
      <c r="C36" s="712" t="s">
        <v>356</v>
      </c>
      <c r="D36" s="713">
        <f>47.8%</f>
        <v>0.47799999999999998</v>
      </c>
      <c r="E36" s="714">
        <f>D36+7%</f>
        <v>0.54800000000000004</v>
      </c>
      <c r="F36" s="714">
        <f t="shared" ref="F36:G36" si="9">E36+7%</f>
        <v>0.6180000000000001</v>
      </c>
      <c r="G36" s="714">
        <f t="shared" si="9"/>
        <v>0.68800000000000017</v>
      </c>
      <c r="H36" s="714">
        <v>0.7</v>
      </c>
      <c r="I36" s="714">
        <f>H36</f>
        <v>0.7</v>
      </c>
      <c r="J36" s="714">
        <f t="shared" ref="J36:M36" si="10">I36</f>
        <v>0.7</v>
      </c>
      <c r="K36" s="714">
        <f t="shared" si="10"/>
        <v>0.7</v>
      </c>
      <c r="L36" s="714">
        <f t="shared" si="10"/>
        <v>0.7</v>
      </c>
      <c r="M36" s="718">
        <f t="shared" si="10"/>
        <v>0.7</v>
      </c>
      <c r="N36" s="234"/>
      <c r="O36" s="234"/>
      <c r="P36" s="234"/>
      <c r="Q36" s="234"/>
      <c r="R36" s="491"/>
      <c r="S36" s="491"/>
      <c r="T36" s="491"/>
      <c r="U36" s="491"/>
      <c r="V36" s="295"/>
      <c r="W36" s="482" t="s">
        <v>357</v>
      </c>
      <c r="X36" s="483">
        <v>0.1249</v>
      </c>
      <c r="Y36" s="483">
        <v>0.14610000000000001</v>
      </c>
      <c r="Z36" s="483">
        <v>0.1593</v>
      </c>
      <c r="AA36" s="483">
        <v>0.21379999999999999</v>
      </c>
      <c r="AB36" s="483">
        <v>0.29110000000000003</v>
      </c>
      <c r="AC36" s="483">
        <v>0.3206</v>
      </c>
      <c r="AD36" s="483">
        <v>0.36709999999999998</v>
      </c>
      <c r="AE36" s="483">
        <v>0.42209999999999998</v>
      </c>
      <c r="AF36" s="483">
        <v>0.4768</v>
      </c>
      <c r="AG36" s="483">
        <v>0.52429999999999999</v>
      </c>
      <c r="AH36" s="484">
        <v>0.56359999999999999</v>
      </c>
    </row>
    <row r="37" spans="1:34" ht="16.5" thickBot="1">
      <c r="A37" s="295"/>
      <c r="B37" s="295"/>
      <c r="C37" s="295"/>
      <c r="D37" s="295"/>
      <c r="E37" s="295"/>
      <c r="F37" s="295"/>
      <c r="G37" s="295"/>
      <c r="H37" s="295"/>
      <c r="I37" s="295"/>
      <c r="J37" s="295"/>
      <c r="K37" s="295"/>
      <c r="L37" s="295"/>
      <c r="M37" s="295"/>
      <c r="N37" s="295"/>
      <c r="O37" s="295"/>
      <c r="P37" s="295"/>
      <c r="Q37" s="295"/>
      <c r="R37" s="490"/>
      <c r="S37" s="490"/>
      <c r="T37" s="490"/>
      <c r="U37" s="490"/>
      <c r="V37" s="295"/>
      <c r="W37" s="482" t="s">
        <v>358</v>
      </c>
      <c r="X37" s="483">
        <v>2.384E-2</v>
      </c>
      <c r="Y37" s="483">
        <v>2.9010000000000001E-2</v>
      </c>
      <c r="Z37" s="483">
        <v>3.5499999999999997E-2</v>
      </c>
      <c r="AA37" s="483">
        <v>6.9849999999999995E-2</v>
      </c>
      <c r="AB37" s="483">
        <v>0.11119999999999999</v>
      </c>
      <c r="AC37" s="483">
        <v>0.12939999999999999</v>
      </c>
      <c r="AD37" s="483">
        <v>0.154</v>
      </c>
      <c r="AE37" s="483">
        <v>0.18690000000000001</v>
      </c>
      <c r="AF37" s="483">
        <v>0.23169999999999999</v>
      </c>
      <c r="AG37" s="483">
        <v>0.2671</v>
      </c>
      <c r="AH37" s="484">
        <v>0.30630000000000002</v>
      </c>
    </row>
    <row r="38" spans="1:34" ht="16.5" thickBot="1">
      <c r="A38" s="295"/>
      <c r="B38" s="392" t="s">
        <v>359</v>
      </c>
      <c r="C38" s="393"/>
      <c r="D38" s="393"/>
      <c r="E38" s="393"/>
      <c r="F38" s="393"/>
      <c r="G38" s="393"/>
      <c r="H38" s="393"/>
      <c r="I38" s="393"/>
      <c r="J38" s="393"/>
      <c r="K38" s="393"/>
      <c r="L38" s="393"/>
      <c r="M38" s="393"/>
      <c r="N38" s="393"/>
      <c r="O38" s="393"/>
      <c r="P38" s="393"/>
      <c r="Q38" s="394"/>
      <c r="R38" s="490"/>
      <c r="S38" s="490"/>
      <c r="T38" s="490"/>
      <c r="U38" s="490"/>
      <c r="V38" s="295"/>
      <c r="W38" s="482" t="s">
        <v>360</v>
      </c>
      <c r="X38" s="483">
        <v>2.4160000000000001E-2</v>
      </c>
      <c r="Y38" s="483">
        <v>2.8459999999999999E-2</v>
      </c>
      <c r="Z38" s="483">
        <v>3.0970000000000001E-2</v>
      </c>
      <c r="AA38" s="483">
        <v>4.6539999999999998E-2</v>
      </c>
      <c r="AB38" s="483">
        <v>6.6049999999999998E-2</v>
      </c>
      <c r="AC38" s="483">
        <v>6.8909999999999999E-2</v>
      </c>
      <c r="AD38" s="483">
        <v>7.9000000000000001E-2</v>
      </c>
      <c r="AE38" s="483">
        <v>8.967E-2</v>
      </c>
      <c r="AF38" s="483">
        <v>9.9909999999999999E-2</v>
      </c>
      <c r="AG38" s="483">
        <v>0.1087</v>
      </c>
      <c r="AH38" s="484">
        <v>0.11600000000000001</v>
      </c>
    </row>
    <row r="39" spans="1:34" ht="15.75">
      <c r="A39" s="295"/>
      <c r="B39" s="360" t="s">
        <v>361</v>
      </c>
      <c r="C39" s="361"/>
      <c r="D39" s="361"/>
      <c r="E39" s="361"/>
      <c r="F39" s="361"/>
      <c r="G39" s="361"/>
      <c r="H39" s="361"/>
      <c r="I39" s="361"/>
      <c r="J39" s="361"/>
      <c r="K39" s="361"/>
      <c r="L39" s="361"/>
      <c r="M39" s="361"/>
      <c r="N39" s="361"/>
      <c r="O39" s="361"/>
      <c r="P39" s="361"/>
      <c r="Q39" s="362"/>
      <c r="R39" s="492"/>
      <c r="S39" s="492"/>
      <c r="T39" s="492"/>
      <c r="U39" s="492"/>
      <c r="V39" s="295"/>
      <c r="W39" s="482" t="s">
        <v>362</v>
      </c>
      <c r="X39" s="483">
        <v>1.14E-2</v>
      </c>
      <c r="Y39" s="483">
        <v>1.6E-2</v>
      </c>
      <c r="Z39" s="483">
        <v>2.2009999999999998E-2</v>
      </c>
      <c r="AA39" s="483">
        <v>4.6440000000000002E-2</v>
      </c>
      <c r="AB39" s="483">
        <v>7.7200000000000005E-2</v>
      </c>
      <c r="AC39" s="483">
        <v>9.5589999999999994E-2</v>
      </c>
      <c r="AD39" s="483">
        <v>0.1198</v>
      </c>
      <c r="AE39" s="483">
        <v>0.15190000000000001</v>
      </c>
      <c r="AF39" s="483">
        <v>0.1963</v>
      </c>
      <c r="AG39" s="483">
        <v>0.2399</v>
      </c>
      <c r="AH39" s="484">
        <v>0.28270000000000001</v>
      </c>
    </row>
    <row r="40" spans="1:34" ht="15.75">
      <c r="A40" s="295"/>
      <c r="B40" s="363" t="s">
        <v>363</v>
      </c>
      <c r="C40" s="364" t="s">
        <v>263</v>
      </c>
      <c r="D40" s="364" t="s">
        <v>264</v>
      </c>
      <c r="E40" s="364" t="s">
        <v>265</v>
      </c>
      <c r="F40" s="364" t="s">
        <v>267</v>
      </c>
      <c r="G40" s="364" t="s">
        <v>309</v>
      </c>
      <c r="H40" s="364" t="s">
        <v>310</v>
      </c>
      <c r="I40" s="364" t="s">
        <v>311</v>
      </c>
      <c r="J40" s="364" t="s">
        <v>312</v>
      </c>
      <c r="K40" s="364" t="s">
        <v>313</v>
      </c>
      <c r="L40" s="364" t="s">
        <v>314</v>
      </c>
      <c r="M40" s="364" t="s">
        <v>315</v>
      </c>
      <c r="N40" s="364" t="s">
        <v>364</v>
      </c>
      <c r="O40" s="364" t="s">
        <v>365</v>
      </c>
      <c r="P40" s="364" t="s">
        <v>366</v>
      </c>
      <c r="Q40" s="365" t="s">
        <v>367</v>
      </c>
      <c r="R40" s="295"/>
      <c r="S40" s="295"/>
      <c r="T40" s="295"/>
      <c r="U40" s="295"/>
      <c r="V40" s="295"/>
      <c r="W40" s="482" t="s">
        <v>368</v>
      </c>
      <c r="X40" s="483">
        <v>2.4850000000000001E-2</v>
      </c>
      <c r="Y40" s="483">
        <v>2.945E-2</v>
      </c>
      <c r="Z40" s="483">
        <v>3.3790000000000001E-2</v>
      </c>
      <c r="AA40" s="483">
        <v>5.8599999999999999E-2</v>
      </c>
      <c r="AB40" s="483">
        <v>9.1600000000000001E-2</v>
      </c>
      <c r="AC40" s="483">
        <v>0.12089999999999999</v>
      </c>
      <c r="AD40" s="483">
        <v>0.16159999999999999</v>
      </c>
      <c r="AE40" s="483">
        <v>0.21740000000000001</v>
      </c>
      <c r="AF40" s="483">
        <v>0.29680000000000001</v>
      </c>
      <c r="AG40" s="483">
        <v>0.38109999999999999</v>
      </c>
      <c r="AH40" s="484">
        <v>0.46989999999999998</v>
      </c>
    </row>
    <row r="41" spans="1:34" ht="15.75">
      <c r="A41" s="295"/>
      <c r="B41" s="366" t="s">
        <v>327</v>
      </c>
      <c r="C41" s="357" t="s">
        <v>369</v>
      </c>
      <c r="D41" s="349" t="s">
        <v>370</v>
      </c>
      <c r="E41" s="349" t="s">
        <v>371</v>
      </c>
      <c r="F41" s="350" t="s">
        <v>372</v>
      </c>
      <c r="G41" s="351">
        <v>2.9209999999999998</v>
      </c>
      <c r="H41" s="351">
        <v>5.3440000000000003</v>
      </c>
      <c r="I41" s="352">
        <v>2.964</v>
      </c>
      <c r="J41" s="352">
        <v>3.1909999999999998</v>
      </c>
      <c r="K41" s="352">
        <v>3.04</v>
      </c>
      <c r="L41" s="352">
        <v>3.04</v>
      </c>
      <c r="M41" s="352">
        <v>3</v>
      </c>
      <c r="N41" s="352">
        <v>3</v>
      </c>
      <c r="O41" s="352">
        <v>3</v>
      </c>
      <c r="P41" s="352">
        <v>3</v>
      </c>
      <c r="Q41" s="367">
        <v>3</v>
      </c>
      <c r="R41" s="295"/>
      <c r="S41" s="295"/>
      <c r="T41" s="295"/>
      <c r="U41" s="295"/>
      <c r="V41" s="295"/>
      <c r="W41" s="482" t="s">
        <v>373</v>
      </c>
      <c r="X41" s="483">
        <v>0.16389999999999999</v>
      </c>
      <c r="Y41" s="483">
        <v>0.1961</v>
      </c>
      <c r="Z41" s="483">
        <v>0.21079999999999999</v>
      </c>
      <c r="AA41" s="483">
        <v>0.3095</v>
      </c>
      <c r="AB41" s="483">
        <v>0.42899999999999999</v>
      </c>
      <c r="AC41" s="483">
        <v>0.42659999999999998</v>
      </c>
      <c r="AD41" s="483">
        <v>0.45579999999999998</v>
      </c>
      <c r="AE41" s="483">
        <v>0.49659999999999999</v>
      </c>
      <c r="AF41" s="483">
        <v>0.54320000000000002</v>
      </c>
      <c r="AG41" s="483">
        <v>0.58879999999999999</v>
      </c>
      <c r="AH41" s="484">
        <v>0.63039999999999996</v>
      </c>
    </row>
    <row r="42" spans="1:34" ht="15.75">
      <c r="A42" s="295"/>
      <c r="B42" s="335" t="s">
        <v>268</v>
      </c>
      <c r="C42" s="358" t="s">
        <v>369</v>
      </c>
      <c r="D42" s="337" t="s">
        <v>370</v>
      </c>
      <c r="E42" s="337" t="s">
        <v>371</v>
      </c>
      <c r="F42" s="338" t="s">
        <v>372</v>
      </c>
      <c r="G42" s="339">
        <v>1.56</v>
      </c>
      <c r="H42" s="339">
        <v>4.2089999999999996</v>
      </c>
      <c r="I42" s="340">
        <v>4.2880000000000003</v>
      </c>
      <c r="J42" s="340">
        <v>3.39</v>
      </c>
      <c r="K42" s="340">
        <v>2.9929999999999999</v>
      </c>
      <c r="L42" s="340">
        <v>3</v>
      </c>
      <c r="M42" s="340">
        <v>2.9980000000000002</v>
      </c>
      <c r="N42" s="340">
        <v>3.0059999999999998</v>
      </c>
      <c r="O42" s="340">
        <v>2.99</v>
      </c>
      <c r="P42" s="340">
        <v>3.0089999999999999</v>
      </c>
      <c r="Q42" s="341">
        <v>2.9969999999999999</v>
      </c>
      <c r="R42" s="295"/>
      <c r="S42" s="295"/>
      <c r="T42" s="295"/>
      <c r="U42" s="295"/>
      <c r="V42" s="295"/>
      <c r="W42" s="482" t="s">
        <v>374</v>
      </c>
      <c r="X42" s="483">
        <v>0.50690000000000002</v>
      </c>
      <c r="Y42" s="483">
        <v>0.6119</v>
      </c>
      <c r="Z42" s="483">
        <v>0.70040000000000002</v>
      </c>
      <c r="AA42" s="483">
        <v>1.143</v>
      </c>
      <c r="AB42" s="483">
        <v>1.637</v>
      </c>
      <c r="AC42" s="483">
        <v>1.679</v>
      </c>
      <c r="AD42" s="483">
        <v>1.865</v>
      </c>
      <c r="AE42" s="483">
        <v>2.081</v>
      </c>
      <c r="AF42" s="483">
        <v>2.3090000000000002</v>
      </c>
      <c r="AG42" s="483">
        <v>2.5270000000000001</v>
      </c>
      <c r="AH42" s="484">
        <v>2.73</v>
      </c>
    </row>
    <row r="43" spans="1:34" ht="15.75">
      <c r="A43" s="295"/>
      <c r="B43" s="335" t="s">
        <v>274</v>
      </c>
      <c r="C43" s="358" t="s">
        <v>369</v>
      </c>
      <c r="D43" s="337" t="s">
        <v>370</v>
      </c>
      <c r="E43" s="337" t="s">
        <v>371</v>
      </c>
      <c r="F43" s="338" t="s">
        <v>372</v>
      </c>
      <c r="G43" s="339">
        <v>2.4769999999999999</v>
      </c>
      <c r="H43" s="339">
        <v>3.379</v>
      </c>
      <c r="I43" s="340">
        <v>2.9950000000000001</v>
      </c>
      <c r="J43" s="340">
        <v>2.29</v>
      </c>
      <c r="K43" s="340">
        <v>2.3149999999999999</v>
      </c>
      <c r="L43" s="340">
        <v>2.3879999999999999</v>
      </c>
      <c r="M43" s="340">
        <v>2.4039999999999999</v>
      </c>
      <c r="N43" s="340">
        <v>2.4049999999999998</v>
      </c>
      <c r="O43" s="340">
        <v>2.4</v>
      </c>
      <c r="P43" s="340">
        <v>2.3929999999999998</v>
      </c>
      <c r="Q43" s="341">
        <v>2.4020000000000001</v>
      </c>
      <c r="R43" s="295"/>
      <c r="S43" s="295"/>
      <c r="T43" s="295"/>
      <c r="U43" s="295"/>
      <c r="V43" s="295"/>
      <c r="W43" s="482" t="s">
        <v>375</v>
      </c>
      <c r="X43" s="483">
        <v>1.38E-2</v>
      </c>
      <c r="Y43" s="483">
        <v>1.797E-2</v>
      </c>
      <c r="Z43" s="483">
        <v>2.47E-2</v>
      </c>
      <c r="AA43" s="483">
        <v>4.5679999999999998E-2</v>
      </c>
      <c r="AB43" s="483">
        <v>6.9580000000000003E-2</v>
      </c>
      <c r="AC43" s="483">
        <v>8.2089999999999996E-2</v>
      </c>
      <c r="AD43" s="483">
        <v>0.1023</v>
      </c>
      <c r="AE43" s="483">
        <v>0.1222</v>
      </c>
      <c r="AF43" s="483">
        <v>0.1419</v>
      </c>
      <c r="AG43" s="483">
        <v>0.1598</v>
      </c>
      <c r="AH43" s="484">
        <v>0.17560000000000001</v>
      </c>
    </row>
    <row r="44" spans="1:34" ht="15.75">
      <c r="A44" s="295"/>
      <c r="B44" s="335" t="s">
        <v>275</v>
      </c>
      <c r="C44" s="358" t="s">
        <v>369</v>
      </c>
      <c r="D44" s="337" t="s">
        <v>370</v>
      </c>
      <c r="E44" s="337" t="s">
        <v>371</v>
      </c>
      <c r="F44" s="338" t="s">
        <v>372</v>
      </c>
      <c r="G44" s="339">
        <v>3.9140000000000001</v>
      </c>
      <c r="H44" s="339">
        <v>5.8209999999999997</v>
      </c>
      <c r="I44" s="340">
        <v>4.8949999999999996</v>
      </c>
      <c r="J44" s="340">
        <v>3.3919999999999999</v>
      </c>
      <c r="K44" s="340">
        <v>3.0070000000000001</v>
      </c>
      <c r="L44" s="340">
        <v>2.99</v>
      </c>
      <c r="M44" s="340">
        <v>2.9980000000000002</v>
      </c>
      <c r="N44" s="340">
        <v>3.012</v>
      </c>
      <c r="O44" s="340">
        <v>3.008</v>
      </c>
      <c r="P44" s="340">
        <v>2.9929999999999999</v>
      </c>
      <c r="Q44" s="341">
        <v>2.9940000000000002</v>
      </c>
      <c r="R44" s="295"/>
      <c r="S44" s="295"/>
      <c r="T44" s="295"/>
      <c r="U44" s="295"/>
      <c r="V44" s="295"/>
      <c r="W44" s="482" t="s">
        <v>376</v>
      </c>
      <c r="X44" s="483">
        <v>8.1540000000000001E-2</v>
      </c>
      <c r="Y44" s="483">
        <v>0.1072</v>
      </c>
      <c r="Z44" s="483">
        <v>0.14960000000000001</v>
      </c>
      <c r="AA44" s="483">
        <v>0.30809999999999998</v>
      </c>
      <c r="AB44" s="483">
        <v>0.51739999999999997</v>
      </c>
      <c r="AC44" s="483">
        <v>0.61070000000000002</v>
      </c>
      <c r="AD44" s="483">
        <v>0.74409999999999998</v>
      </c>
      <c r="AE44" s="483">
        <v>0.92379999999999995</v>
      </c>
      <c r="AF44" s="483">
        <v>1.1759999999999999</v>
      </c>
      <c r="AG44" s="483">
        <v>1.367</v>
      </c>
      <c r="AH44" s="484">
        <v>1.569</v>
      </c>
    </row>
    <row r="45" spans="1:34" ht="15.75">
      <c r="A45" s="295"/>
      <c r="B45" s="335" t="s">
        <v>276</v>
      </c>
      <c r="C45" s="358" t="s">
        <v>369</v>
      </c>
      <c r="D45" s="337" t="s">
        <v>370</v>
      </c>
      <c r="E45" s="337" t="s">
        <v>371</v>
      </c>
      <c r="F45" s="338" t="s">
        <v>372</v>
      </c>
      <c r="G45" s="339">
        <v>2.3050000000000002</v>
      </c>
      <c r="H45" s="339">
        <v>6.1210000000000004</v>
      </c>
      <c r="I45" s="340">
        <v>4.407</v>
      </c>
      <c r="J45" s="340">
        <v>2.7029999999999998</v>
      </c>
      <c r="K45" s="340">
        <v>1.5089999999999999</v>
      </c>
      <c r="L45" s="340">
        <v>1.482</v>
      </c>
      <c r="M45" s="340">
        <v>1.5089999999999999</v>
      </c>
      <c r="N45" s="340">
        <v>1.4930000000000001</v>
      </c>
      <c r="O45" s="340">
        <v>1.5</v>
      </c>
      <c r="P45" s="340">
        <v>1.5009999999999999</v>
      </c>
      <c r="Q45" s="341">
        <v>1.502</v>
      </c>
      <c r="R45" s="802"/>
      <c r="S45" s="295"/>
      <c r="T45" s="295"/>
      <c r="U45" s="295"/>
      <c r="V45" s="295"/>
      <c r="W45" s="482" t="s">
        <v>377</v>
      </c>
      <c r="X45" s="483">
        <v>6.4240000000000005E-2</v>
      </c>
      <c r="Y45" s="483">
        <v>8.2220000000000001E-2</v>
      </c>
      <c r="Z45" s="483">
        <v>0.1128</v>
      </c>
      <c r="AA45" s="483">
        <v>0.23719999999999999</v>
      </c>
      <c r="AB45" s="483">
        <v>0.38890000000000002</v>
      </c>
      <c r="AC45" s="483">
        <v>0.4556</v>
      </c>
      <c r="AD45" s="483">
        <v>0.55500000000000005</v>
      </c>
      <c r="AE45" s="483">
        <v>0.66659999999999997</v>
      </c>
      <c r="AF45" s="483">
        <v>0.79730000000000001</v>
      </c>
      <c r="AG45" s="483">
        <v>0.96450000000000002</v>
      </c>
      <c r="AH45" s="484">
        <v>1.125</v>
      </c>
    </row>
    <row r="46" spans="1:34" ht="15.75">
      <c r="A46" s="295"/>
      <c r="B46" s="335" t="s">
        <v>277</v>
      </c>
      <c r="C46" s="358" t="s">
        <v>369</v>
      </c>
      <c r="D46" s="337" t="s">
        <v>370</v>
      </c>
      <c r="E46" s="337" t="s">
        <v>371</v>
      </c>
      <c r="F46" s="338" t="s">
        <v>372</v>
      </c>
      <c r="G46" s="339">
        <v>1.232</v>
      </c>
      <c r="H46" s="339">
        <v>6.0780000000000003</v>
      </c>
      <c r="I46" s="340">
        <v>3.0950000000000002</v>
      </c>
      <c r="J46" s="340">
        <v>1.5980000000000001</v>
      </c>
      <c r="K46" s="340">
        <v>1.8879999999999999</v>
      </c>
      <c r="L46" s="340">
        <v>1.9039999999999999</v>
      </c>
      <c r="M46" s="340">
        <v>1.9119999999999999</v>
      </c>
      <c r="N46" s="340">
        <v>1.883</v>
      </c>
      <c r="O46" s="340">
        <v>1.903</v>
      </c>
      <c r="P46" s="340">
        <v>1.9039999999999999</v>
      </c>
      <c r="Q46" s="341">
        <v>1.903</v>
      </c>
      <c r="R46" s="295"/>
      <c r="S46" s="295"/>
      <c r="T46" s="295"/>
      <c r="U46" s="295"/>
      <c r="V46" s="295"/>
      <c r="W46" s="482" t="s">
        <v>378</v>
      </c>
      <c r="X46" s="483">
        <v>2.623E-2</v>
      </c>
      <c r="Y46" s="483">
        <v>3.5900000000000001E-2</v>
      </c>
      <c r="Z46" s="483">
        <v>4.8680000000000001E-2</v>
      </c>
      <c r="AA46" s="483">
        <v>0.10290000000000001</v>
      </c>
      <c r="AB46" s="483">
        <v>0.18970000000000001</v>
      </c>
      <c r="AC46" s="483">
        <v>0.22570000000000001</v>
      </c>
      <c r="AD46" s="483">
        <v>0.27729999999999999</v>
      </c>
      <c r="AE46" s="483">
        <v>0.34889999999999999</v>
      </c>
      <c r="AF46" s="483">
        <v>0.44569999999999999</v>
      </c>
      <c r="AG46" s="483">
        <v>0.52939999999999998</v>
      </c>
      <c r="AH46" s="484">
        <v>0.61799999999999999</v>
      </c>
    </row>
    <row r="47" spans="1:34" ht="15.75">
      <c r="A47" s="295"/>
      <c r="B47" s="368" t="s">
        <v>279</v>
      </c>
      <c r="C47" s="359" t="s">
        <v>369</v>
      </c>
      <c r="D47" s="353" t="s">
        <v>370</v>
      </c>
      <c r="E47" s="353" t="s">
        <v>371</v>
      </c>
      <c r="F47" s="354" t="s">
        <v>372</v>
      </c>
      <c r="G47" s="355">
        <v>1.835</v>
      </c>
      <c r="H47" s="355">
        <v>3.2160000000000002</v>
      </c>
      <c r="I47" s="356">
        <v>3.7949999999999999</v>
      </c>
      <c r="J47" s="356">
        <v>2.9849999999999999</v>
      </c>
      <c r="K47" s="356">
        <v>3.597</v>
      </c>
      <c r="L47" s="356">
        <v>3.6150000000000002</v>
      </c>
      <c r="M47" s="356">
        <v>3.4929999999999999</v>
      </c>
      <c r="N47" s="356">
        <v>3.4969999999999999</v>
      </c>
      <c r="O47" s="356">
        <v>3.5</v>
      </c>
      <c r="P47" s="356">
        <v>3.5019999999999998</v>
      </c>
      <c r="Q47" s="369">
        <v>3.508</v>
      </c>
      <c r="R47" s="295"/>
      <c r="S47" s="295"/>
      <c r="T47" s="295"/>
      <c r="U47" s="295"/>
      <c r="V47" s="295"/>
      <c r="W47" s="482" t="s">
        <v>379</v>
      </c>
      <c r="X47" s="483">
        <v>5.6509999999999998E-3</v>
      </c>
      <c r="Y47" s="483">
        <v>6.6730000000000001E-3</v>
      </c>
      <c r="Z47" s="483">
        <v>8.3630000000000006E-3</v>
      </c>
      <c r="AA47" s="483">
        <v>1.2630000000000001E-2</v>
      </c>
      <c r="AB47" s="483">
        <v>2.1350000000000001E-2</v>
      </c>
      <c r="AC47" s="483">
        <v>2.3019999999999999E-2</v>
      </c>
      <c r="AD47" s="483">
        <v>2.6780000000000002E-2</v>
      </c>
      <c r="AE47" s="483">
        <v>3.2320000000000002E-2</v>
      </c>
      <c r="AF47" s="483">
        <v>3.9940000000000003E-2</v>
      </c>
      <c r="AG47" s="483">
        <v>4.53E-2</v>
      </c>
      <c r="AH47" s="484">
        <v>5.1659999999999998E-2</v>
      </c>
    </row>
    <row r="48" spans="1:34" ht="15.75">
      <c r="A48" s="295"/>
      <c r="B48" s="335" t="s">
        <v>327</v>
      </c>
      <c r="C48" s="336" t="s">
        <v>380</v>
      </c>
      <c r="D48" s="337" t="s">
        <v>370</v>
      </c>
      <c r="E48" s="337" t="s">
        <v>371</v>
      </c>
      <c r="F48" s="338" t="s">
        <v>372</v>
      </c>
      <c r="G48" s="339">
        <v>3.0059999999999998</v>
      </c>
      <c r="H48" s="339">
        <v>5.101</v>
      </c>
      <c r="I48" s="340">
        <v>6.226</v>
      </c>
      <c r="J48" s="340">
        <v>6.5750000000000002</v>
      </c>
      <c r="K48" s="340">
        <v>6.4249999999999998</v>
      </c>
      <c r="L48" s="340">
        <v>6.5259999999999998</v>
      </c>
      <c r="M48" s="340">
        <v>6.5940000000000003</v>
      </c>
      <c r="N48" s="340">
        <v>6.6109999999999998</v>
      </c>
      <c r="O48" s="340">
        <v>6.6210000000000004</v>
      </c>
      <c r="P48" s="340">
        <v>6.6260000000000003</v>
      </c>
      <c r="Q48" s="341">
        <v>6.6280000000000001</v>
      </c>
      <c r="R48" s="295"/>
      <c r="S48" s="295"/>
      <c r="T48" s="295"/>
      <c r="U48" s="295"/>
      <c r="V48" s="295"/>
      <c r="W48" s="482" t="s">
        <v>381</v>
      </c>
      <c r="X48" s="483">
        <v>2.495E-2</v>
      </c>
      <c r="Y48" s="483">
        <v>3.1960000000000002E-2</v>
      </c>
      <c r="Z48" s="483">
        <v>3.891E-2</v>
      </c>
      <c r="AA48" s="483">
        <v>6.8409999999999999E-2</v>
      </c>
      <c r="AB48" s="483">
        <v>0.10539999999999999</v>
      </c>
      <c r="AC48" s="483">
        <v>0.11269999999999999</v>
      </c>
      <c r="AD48" s="483">
        <v>0.13150000000000001</v>
      </c>
      <c r="AE48" s="483">
        <v>0.1527</v>
      </c>
      <c r="AF48" s="483">
        <v>0.17430000000000001</v>
      </c>
      <c r="AG48" s="483">
        <v>0.1946</v>
      </c>
      <c r="AH48" s="484">
        <v>0.21229999999999999</v>
      </c>
    </row>
    <row r="49" spans="1:34" ht="15.75">
      <c r="A49" s="295"/>
      <c r="B49" s="335" t="s">
        <v>268</v>
      </c>
      <c r="C49" s="336" t="s">
        <v>380</v>
      </c>
      <c r="D49" s="337" t="s">
        <v>370</v>
      </c>
      <c r="E49" s="337" t="s">
        <v>371</v>
      </c>
      <c r="F49" s="338" t="s">
        <v>372</v>
      </c>
      <c r="G49" s="339">
        <v>3.7029999999999998</v>
      </c>
      <c r="H49" s="339">
        <v>5.3090000000000002</v>
      </c>
      <c r="I49" s="340">
        <v>4.6870000000000003</v>
      </c>
      <c r="J49" s="340">
        <v>4.99</v>
      </c>
      <c r="K49" s="340">
        <v>5.3</v>
      </c>
      <c r="L49" s="340">
        <v>5.202</v>
      </c>
      <c r="M49" s="340">
        <v>5.1050000000000004</v>
      </c>
      <c r="N49" s="340">
        <v>5.0999999999999996</v>
      </c>
      <c r="O49" s="340">
        <v>5.0949999999999998</v>
      </c>
      <c r="P49" s="340">
        <v>5.0049999999999999</v>
      </c>
      <c r="Q49" s="341">
        <v>4.8</v>
      </c>
      <c r="R49" s="295"/>
      <c r="S49" s="295"/>
      <c r="T49" s="295"/>
      <c r="U49" s="295"/>
      <c r="V49" s="295"/>
      <c r="W49" s="482" t="s">
        <v>382</v>
      </c>
      <c r="X49" s="483">
        <v>8.737E-3</v>
      </c>
      <c r="Y49" s="483">
        <v>1.319E-2</v>
      </c>
      <c r="Z49" s="483">
        <v>2.043E-2</v>
      </c>
      <c r="AA49" s="483">
        <v>4.5839999999999999E-2</v>
      </c>
      <c r="AB49" s="483">
        <v>8.9770000000000003E-2</v>
      </c>
      <c r="AC49" s="483">
        <v>0.12989999999999999</v>
      </c>
      <c r="AD49" s="483">
        <v>0.18679999999999999</v>
      </c>
      <c r="AE49" s="483">
        <v>0.27139999999999997</v>
      </c>
      <c r="AF49" s="483">
        <v>0.39639999999999997</v>
      </c>
      <c r="AG49" s="483">
        <v>0.53700000000000003</v>
      </c>
      <c r="AH49" s="484">
        <v>0.69179999999999997</v>
      </c>
    </row>
    <row r="50" spans="1:34" ht="15.75">
      <c r="A50" s="295"/>
      <c r="B50" s="335" t="s">
        <v>274</v>
      </c>
      <c r="C50" s="336" t="s">
        <v>380</v>
      </c>
      <c r="D50" s="337" t="s">
        <v>370</v>
      </c>
      <c r="E50" s="337" t="s">
        <v>371</v>
      </c>
      <c r="F50" s="338" t="s">
        <v>372</v>
      </c>
      <c r="G50" s="339">
        <v>3.0920000000000001</v>
      </c>
      <c r="H50" s="339">
        <v>7.6079999999999997</v>
      </c>
      <c r="I50" s="340">
        <v>4.1870000000000003</v>
      </c>
      <c r="J50" s="340">
        <v>4.6029999999999998</v>
      </c>
      <c r="K50" s="340">
        <v>4.4950000000000001</v>
      </c>
      <c r="L50" s="340">
        <v>4.4050000000000002</v>
      </c>
      <c r="M50" s="340">
        <v>3.9969999999999999</v>
      </c>
      <c r="N50" s="340">
        <v>3.9950000000000001</v>
      </c>
      <c r="O50" s="340">
        <v>3.9969999999999999</v>
      </c>
      <c r="P50" s="340">
        <v>3.9180000000000001</v>
      </c>
      <c r="Q50" s="341">
        <v>3.75</v>
      </c>
      <c r="R50" s="295"/>
      <c r="S50" s="295"/>
      <c r="T50" s="295"/>
      <c r="U50" s="295"/>
      <c r="V50" s="295"/>
      <c r="W50" s="482" t="s">
        <v>383</v>
      </c>
      <c r="X50" s="483">
        <v>5.1590000000000004E-3</v>
      </c>
      <c r="Y50" s="483">
        <v>6.7419999999999997E-3</v>
      </c>
      <c r="Z50" s="483">
        <v>9.4219999999999998E-3</v>
      </c>
      <c r="AA50" s="483">
        <v>1.932E-2</v>
      </c>
      <c r="AB50" s="483">
        <v>3.39E-2</v>
      </c>
      <c r="AC50" s="483">
        <v>4.2279999999999998E-2</v>
      </c>
      <c r="AD50" s="483">
        <v>5.3539999999999997E-2</v>
      </c>
      <c r="AE50" s="483">
        <v>6.9180000000000005E-2</v>
      </c>
      <c r="AF50" s="483">
        <v>9.0230000000000005E-2</v>
      </c>
      <c r="AG50" s="483">
        <v>0.1065</v>
      </c>
      <c r="AH50" s="484">
        <v>0.124</v>
      </c>
    </row>
    <row r="51" spans="1:34" ht="15.75">
      <c r="A51" s="295"/>
      <c r="B51" s="335" t="s">
        <v>275</v>
      </c>
      <c r="C51" s="336" t="s">
        <v>380</v>
      </c>
      <c r="D51" s="337" t="s">
        <v>370</v>
      </c>
      <c r="E51" s="337" t="s">
        <v>371</v>
      </c>
      <c r="F51" s="338" t="s">
        <v>372</v>
      </c>
      <c r="G51" s="339">
        <v>5.7030000000000003</v>
      </c>
      <c r="H51" s="339">
        <v>7.5990000000000002</v>
      </c>
      <c r="I51" s="340">
        <v>5.1920000000000002</v>
      </c>
      <c r="J51" s="340">
        <v>5.907</v>
      </c>
      <c r="K51" s="340">
        <v>6.0949999999999998</v>
      </c>
      <c r="L51" s="340">
        <v>6.008</v>
      </c>
      <c r="M51" s="340">
        <v>5.9980000000000002</v>
      </c>
      <c r="N51" s="340">
        <v>6</v>
      </c>
      <c r="O51" s="340">
        <v>5.9950000000000001</v>
      </c>
      <c r="P51" s="340">
        <v>5.915</v>
      </c>
      <c r="Q51" s="341">
        <v>5.75</v>
      </c>
      <c r="R51" s="295"/>
      <c r="S51" s="295"/>
      <c r="T51" s="295"/>
      <c r="U51" s="295"/>
      <c r="V51" s="295"/>
      <c r="W51" s="482" t="s">
        <v>384</v>
      </c>
      <c r="X51" s="483">
        <v>0.41139999999999999</v>
      </c>
      <c r="Y51" s="483">
        <v>0.48930000000000001</v>
      </c>
      <c r="Z51" s="483">
        <v>0.5413</v>
      </c>
      <c r="AA51" s="483">
        <v>0.85719999999999996</v>
      </c>
      <c r="AB51" s="483">
        <v>1.1859999999999999</v>
      </c>
      <c r="AC51" s="483">
        <v>1.159</v>
      </c>
      <c r="AD51" s="483">
        <v>1.2649999999999999</v>
      </c>
      <c r="AE51" s="483">
        <v>1.4</v>
      </c>
      <c r="AF51" s="483">
        <v>1.5469999999999999</v>
      </c>
      <c r="AG51" s="483">
        <v>1.6879999999999999</v>
      </c>
      <c r="AH51" s="484">
        <v>1.8169999999999999</v>
      </c>
    </row>
    <row r="52" spans="1:34" ht="15.75">
      <c r="A52" s="295"/>
      <c r="B52" s="335" t="s">
        <v>276</v>
      </c>
      <c r="C52" s="336" t="s">
        <v>380</v>
      </c>
      <c r="D52" s="337" t="s">
        <v>370</v>
      </c>
      <c r="E52" s="337" t="s">
        <v>371</v>
      </c>
      <c r="F52" s="338" t="s">
        <v>372</v>
      </c>
      <c r="G52" s="339">
        <v>8.8819999999999997</v>
      </c>
      <c r="H52" s="339">
        <v>3.6469999999999998</v>
      </c>
      <c r="I52" s="340">
        <v>1.7949999999999999</v>
      </c>
      <c r="J52" s="340">
        <v>2.605</v>
      </c>
      <c r="K52" s="340">
        <v>2.6080000000000001</v>
      </c>
      <c r="L52" s="340">
        <v>2.5019999999999998</v>
      </c>
      <c r="M52" s="340">
        <v>2.5</v>
      </c>
      <c r="N52" s="340">
        <v>2.5030000000000001</v>
      </c>
      <c r="O52" s="340">
        <v>2.492</v>
      </c>
      <c r="P52" s="340">
        <v>2.3679999999999999</v>
      </c>
      <c r="Q52" s="341">
        <v>2.1</v>
      </c>
      <c r="R52" s="295"/>
      <c r="S52" s="295"/>
      <c r="T52" s="295"/>
      <c r="U52" s="295"/>
      <c r="V52" s="295"/>
      <c r="W52" s="482" t="s">
        <v>385</v>
      </c>
      <c r="X52" s="483">
        <v>3.1110000000000002</v>
      </c>
      <c r="Y52" s="483">
        <v>3.6120000000000001</v>
      </c>
      <c r="Z52" s="483">
        <v>3.8879999999999999</v>
      </c>
      <c r="AA52" s="483">
        <v>6.0170000000000003</v>
      </c>
      <c r="AB52" s="483">
        <v>8.4670000000000005</v>
      </c>
      <c r="AC52" s="483">
        <v>8.7810000000000006</v>
      </c>
      <c r="AD52" s="483">
        <v>10.41</v>
      </c>
      <c r="AE52" s="483">
        <v>12.51</v>
      </c>
      <c r="AF52" s="483">
        <v>14.78</v>
      </c>
      <c r="AG52" s="483">
        <v>16.920000000000002</v>
      </c>
      <c r="AH52" s="484">
        <v>18.760000000000002</v>
      </c>
    </row>
    <row r="53" spans="1:34" ht="15.75">
      <c r="A53" s="295"/>
      <c r="B53" s="335" t="s">
        <v>277</v>
      </c>
      <c r="C53" s="336" t="s">
        <v>380</v>
      </c>
      <c r="D53" s="337" t="s">
        <v>370</v>
      </c>
      <c r="E53" s="337" t="s">
        <v>371</v>
      </c>
      <c r="F53" s="338" t="s">
        <v>372</v>
      </c>
      <c r="G53" s="339">
        <v>1.534</v>
      </c>
      <c r="H53" s="339">
        <v>3.2130000000000001</v>
      </c>
      <c r="I53" s="340">
        <v>3.702</v>
      </c>
      <c r="J53" s="340">
        <v>3.6850000000000001</v>
      </c>
      <c r="K53" s="340">
        <v>3.41</v>
      </c>
      <c r="L53" s="340">
        <v>3.202</v>
      </c>
      <c r="M53" s="340">
        <v>3.1080000000000001</v>
      </c>
      <c r="N53" s="340">
        <v>3.1</v>
      </c>
      <c r="O53" s="340">
        <v>3.0950000000000002</v>
      </c>
      <c r="P53" s="340">
        <v>2.9849999999999999</v>
      </c>
      <c r="Q53" s="341">
        <v>2.75</v>
      </c>
      <c r="R53" s="295"/>
      <c r="S53" s="295"/>
      <c r="T53" s="295"/>
      <c r="U53" s="295"/>
      <c r="V53" s="295"/>
      <c r="W53" s="482" t="s">
        <v>386</v>
      </c>
      <c r="X53" s="483">
        <v>3.2759999999999998E-3</v>
      </c>
      <c r="Y53" s="483">
        <v>5.0959999999999998E-3</v>
      </c>
      <c r="Z53" s="483">
        <v>8.0520000000000001E-3</v>
      </c>
      <c r="AA53" s="483">
        <v>1.5769999999999999E-2</v>
      </c>
      <c r="AB53" s="483">
        <v>2.751E-2</v>
      </c>
      <c r="AC53" s="483">
        <v>3.3529999999999997E-2</v>
      </c>
      <c r="AD53" s="483">
        <v>4.2009999999999999E-2</v>
      </c>
      <c r="AE53" s="483">
        <v>5.3999999999999999E-2</v>
      </c>
      <c r="AF53" s="483">
        <v>6.9620000000000001E-2</v>
      </c>
      <c r="AG53" s="483">
        <v>8.2309999999999994E-2</v>
      </c>
      <c r="AH53" s="484">
        <v>9.6290000000000001E-2</v>
      </c>
    </row>
    <row r="54" spans="1:34" ht="16.5" thickBot="1">
      <c r="A54" s="295"/>
      <c r="B54" s="342" t="s">
        <v>279</v>
      </c>
      <c r="C54" s="343" t="s">
        <v>380</v>
      </c>
      <c r="D54" s="344" t="s">
        <v>370</v>
      </c>
      <c r="E54" s="344" t="s">
        <v>371</v>
      </c>
      <c r="F54" s="345" t="s">
        <v>372</v>
      </c>
      <c r="G54" s="346">
        <v>5.681</v>
      </c>
      <c r="H54" s="346">
        <v>5.92</v>
      </c>
      <c r="I54" s="347">
        <v>5.798</v>
      </c>
      <c r="J54" s="347">
        <v>5.9050000000000002</v>
      </c>
      <c r="K54" s="347">
        <v>5.9969999999999999</v>
      </c>
      <c r="L54" s="347">
        <v>6.7030000000000003</v>
      </c>
      <c r="M54" s="347">
        <v>6.71</v>
      </c>
      <c r="N54" s="347">
        <v>6.7</v>
      </c>
      <c r="O54" s="347">
        <v>6.69</v>
      </c>
      <c r="P54" s="347">
        <v>6.42</v>
      </c>
      <c r="Q54" s="348">
        <v>5.85</v>
      </c>
      <c r="R54" s="295"/>
      <c r="S54" s="295"/>
      <c r="T54" s="295"/>
      <c r="U54" s="295"/>
      <c r="V54" s="295"/>
      <c r="W54" s="482" t="s">
        <v>387</v>
      </c>
      <c r="X54" s="483">
        <v>4.8099999999999998E-4</v>
      </c>
      <c r="Y54" s="483">
        <v>6.2640000000000005E-4</v>
      </c>
      <c r="Z54" s="483">
        <v>8.1300000000000003E-4</v>
      </c>
      <c r="AA54" s="483">
        <v>1.6689999999999999E-3</v>
      </c>
      <c r="AB54" s="483">
        <v>2.7239999999999999E-3</v>
      </c>
      <c r="AC54" s="483">
        <v>3.3730000000000001E-3</v>
      </c>
      <c r="AD54" s="483">
        <v>4.2659999999999998E-3</v>
      </c>
      <c r="AE54" s="483">
        <v>5.5019999999999999E-3</v>
      </c>
      <c r="AF54" s="483">
        <v>7.3159999999999996E-3</v>
      </c>
      <c r="AG54" s="483">
        <v>8.7250000000000001E-3</v>
      </c>
      <c r="AH54" s="484">
        <v>1.027E-2</v>
      </c>
    </row>
    <row r="55" spans="1:34" ht="15.75">
      <c r="A55" s="295"/>
      <c r="B55" s="295"/>
      <c r="C55" s="295"/>
      <c r="D55" s="295"/>
      <c r="E55" s="295"/>
      <c r="F55" s="295"/>
      <c r="G55" s="295"/>
      <c r="H55" s="295"/>
      <c r="I55" s="295"/>
      <c r="J55" s="295"/>
      <c r="K55" s="295"/>
      <c r="L55" s="295"/>
      <c r="M55" s="295"/>
      <c r="N55" s="295"/>
      <c r="O55" s="295"/>
      <c r="P55" s="295"/>
      <c r="Q55" s="295"/>
      <c r="R55" s="295"/>
      <c r="S55" s="295"/>
      <c r="T55" s="295"/>
      <c r="U55" s="295"/>
      <c r="V55" s="295"/>
      <c r="W55" s="482" t="s">
        <v>388</v>
      </c>
      <c r="X55" s="483">
        <v>8.5009999999999999E-3</v>
      </c>
      <c r="Y55" s="483">
        <v>1.154E-2</v>
      </c>
      <c r="Z55" s="483">
        <v>1.643E-2</v>
      </c>
      <c r="AA55" s="483">
        <v>3.3689999999999998E-2</v>
      </c>
      <c r="AB55" s="483">
        <v>5.9769999999999997E-2</v>
      </c>
      <c r="AC55" s="483">
        <v>7.424E-2</v>
      </c>
      <c r="AD55" s="483">
        <v>9.3689999999999996E-2</v>
      </c>
      <c r="AE55" s="483">
        <v>0.1208</v>
      </c>
      <c r="AF55" s="483">
        <v>0.15790000000000001</v>
      </c>
      <c r="AG55" s="483">
        <v>0.1855</v>
      </c>
      <c r="AH55" s="484">
        <v>0.21490000000000001</v>
      </c>
    </row>
    <row r="56" spans="1:34" ht="38.25">
      <c r="A56" s="295"/>
      <c r="B56" s="493" t="s">
        <v>389</v>
      </c>
      <c r="C56" s="431">
        <f>AVERAGE(Q41:Q47)/100</f>
        <v>2.6151428571428572E-2</v>
      </c>
      <c r="D56" s="295"/>
      <c r="E56" s="295"/>
      <c r="F56" s="295"/>
      <c r="G56" s="295"/>
      <c r="H56" s="295"/>
      <c r="I56" s="295"/>
      <c r="J56" s="295"/>
      <c r="K56" s="295"/>
      <c r="L56" s="295"/>
      <c r="M56" s="295"/>
      <c r="N56" s="295"/>
      <c r="O56" s="294"/>
      <c r="P56" s="294"/>
      <c r="Q56" s="294"/>
      <c r="R56" s="295"/>
      <c r="S56" s="295"/>
      <c r="T56" s="295"/>
      <c r="U56" s="295"/>
      <c r="V56" s="295"/>
      <c r="W56" s="482" t="s">
        <v>390</v>
      </c>
      <c r="X56" s="483">
        <v>1.335</v>
      </c>
      <c r="Y56" s="483">
        <v>1.6519999999999999</v>
      </c>
      <c r="Z56" s="483">
        <v>1.9419999999999999</v>
      </c>
      <c r="AA56" s="483">
        <v>3.3</v>
      </c>
      <c r="AB56" s="483">
        <v>5.1680000000000001</v>
      </c>
      <c r="AC56" s="483">
        <v>5.9180000000000001</v>
      </c>
      <c r="AD56" s="483">
        <v>7.484</v>
      </c>
      <c r="AE56" s="483">
        <v>9.327</v>
      </c>
      <c r="AF56" s="483">
        <v>11.25</v>
      </c>
      <c r="AG56" s="483">
        <v>13.03</v>
      </c>
      <c r="AH56" s="484">
        <v>14.56</v>
      </c>
    </row>
    <row r="57" spans="1:34" ht="63.75">
      <c r="A57" s="295"/>
      <c r="B57" s="493" t="s">
        <v>391</v>
      </c>
      <c r="C57" s="431">
        <f>AVERAGE(Q48:Q54)/100</f>
        <v>4.518285714285715E-2</v>
      </c>
      <c r="D57" s="295"/>
      <c r="E57" s="295"/>
      <c r="F57" s="295"/>
      <c r="G57" s="295"/>
      <c r="H57" s="295"/>
      <c r="I57" s="295"/>
      <c r="J57" s="295"/>
      <c r="K57" s="295"/>
      <c r="L57" s="295"/>
      <c r="M57" s="295"/>
      <c r="N57" s="295"/>
      <c r="O57" s="234"/>
      <c r="P57" s="234"/>
      <c r="Q57" s="234"/>
      <c r="R57" s="295"/>
      <c r="S57" s="295"/>
      <c r="T57" s="295"/>
      <c r="U57" s="295"/>
      <c r="V57" s="295"/>
      <c r="W57" s="482" t="s">
        <v>392</v>
      </c>
      <c r="X57" s="483">
        <v>1.3939999999999999E-2</v>
      </c>
      <c r="Y57" s="483">
        <v>1.8530000000000001E-2</v>
      </c>
      <c r="Z57" s="483">
        <v>2.511E-2</v>
      </c>
      <c r="AA57" s="483">
        <v>5.808E-2</v>
      </c>
      <c r="AB57" s="483">
        <v>9.8699999999999996E-2</v>
      </c>
      <c r="AC57" s="483">
        <v>0.1293</v>
      </c>
      <c r="AD57" s="483">
        <v>0.16880000000000001</v>
      </c>
      <c r="AE57" s="483">
        <v>0.22220000000000001</v>
      </c>
      <c r="AF57" s="483">
        <v>0.29530000000000001</v>
      </c>
      <c r="AG57" s="483">
        <v>0.35249999999999998</v>
      </c>
      <c r="AH57" s="484">
        <v>0.41460000000000002</v>
      </c>
    </row>
    <row r="58" spans="1:34" ht="15.75">
      <c r="A58" s="295"/>
      <c r="B58" s="295"/>
      <c r="C58" s="295"/>
      <c r="D58" s="295"/>
      <c r="E58" s="295"/>
      <c r="F58" s="295"/>
      <c r="G58" s="295"/>
      <c r="H58" s="295"/>
      <c r="I58" s="295"/>
      <c r="J58" s="295"/>
      <c r="K58" s="295"/>
      <c r="L58" s="295"/>
      <c r="M58" s="295"/>
      <c r="N58" s="295"/>
      <c r="O58" s="295"/>
      <c r="P58" s="295"/>
      <c r="Q58" s="295"/>
      <c r="R58" s="295"/>
      <c r="S58" s="295"/>
      <c r="T58" s="295"/>
      <c r="U58" s="295"/>
      <c r="V58" s="295"/>
      <c r="W58" s="482" t="s">
        <v>393</v>
      </c>
      <c r="X58" s="483">
        <v>5.8930000000000003E-2</v>
      </c>
      <c r="Y58" s="483">
        <v>6.9000000000000006E-2</v>
      </c>
      <c r="Z58" s="483">
        <v>7.8280000000000002E-2</v>
      </c>
      <c r="AA58" s="483">
        <v>0.12909999999999999</v>
      </c>
      <c r="AB58" s="483">
        <v>0.1948</v>
      </c>
      <c r="AC58" s="483">
        <v>0.2099</v>
      </c>
      <c r="AD58" s="483">
        <v>0.2467</v>
      </c>
      <c r="AE58" s="483">
        <v>0.28549999999999998</v>
      </c>
      <c r="AF58" s="483">
        <v>0.32229999999999998</v>
      </c>
      <c r="AG58" s="483">
        <v>0.35360000000000003</v>
      </c>
      <c r="AH58" s="484">
        <v>0.37890000000000001</v>
      </c>
    </row>
    <row r="59" spans="1:34" ht="15.75">
      <c r="A59" s="295"/>
      <c r="B59" s="295"/>
      <c r="C59" s="295"/>
      <c r="D59" s="295"/>
      <c r="E59" s="295"/>
      <c r="F59" s="295"/>
      <c r="G59" s="295"/>
      <c r="H59" s="295"/>
      <c r="I59" s="295"/>
      <c r="J59" s="295"/>
      <c r="K59" s="295"/>
      <c r="L59" s="295"/>
      <c r="M59" s="295"/>
      <c r="N59" s="295"/>
      <c r="O59" s="295"/>
      <c r="P59" s="295"/>
      <c r="Q59" s="295"/>
      <c r="R59" s="295"/>
      <c r="S59" s="295"/>
      <c r="T59" s="295"/>
      <c r="U59" s="295"/>
      <c r="V59" s="295"/>
      <c r="W59" s="482" t="s">
        <v>394</v>
      </c>
      <c r="X59" s="483">
        <v>6.8769999999999998E-2</v>
      </c>
      <c r="Y59" s="483">
        <v>9.0509999999999993E-2</v>
      </c>
      <c r="Z59" s="483">
        <v>0.1118</v>
      </c>
      <c r="AA59" s="483">
        <v>0.22320000000000001</v>
      </c>
      <c r="AB59" s="483">
        <v>0.34510000000000002</v>
      </c>
      <c r="AC59" s="483">
        <v>0.40389999999999998</v>
      </c>
      <c r="AD59" s="483">
        <v>0.49</v>
      </c>
      <c r="AE59" s="483">
        <v>0.61580000000000001</v>
      </c>
      <c r="AF59" s="483">
        <v>0.79920000000000002</v>
      </c>
      <c r="AG59" s="483">
        <v>0.91649999999999998</v>
      </c>
      <c r="AH59" s="484">
        <v>1.069</v>
      </c>
    </row>
    <row r="60" spans="1:34" ht="15.75">
      <c r="A60" s="295"/>
      <c r="B60" s="295"/>
      <c r="C60" s="295"/>
      <c r="D60" s="295"/>
      <c r="E60" s="295"/>
      <c r="F60" s="295"/>
      <c r="G60" s="295"/>
      <c r="H60" s="295"/>
      <c r="I60" s="295"/>
      <c r="J60" s="295"/>
      <c r="K60" s="295"/>
      <c r="L60" s="295"/>
      <c r="M60" s="295"/>
      <c r="N60" s="295"/>
      <c r="O60" s="295"/>
      <c r="P60" s="295"/>
      <c r="Q60" s="295"/>
      <c r="R60" s="295"/>
      <c r="S60" s="295"/>
      <c r="T60" s="295"/>
      <c r="U60" s="295"/>
      <c r="V60" s="295"/>
      <c r="W60" s="482" t="s">
        <v>395</v>
      </c>
      <c r="X60" s="483">
        <v>4.1310000000000001E-3</v>
      </c>
      <c r="Y60" s="483">
        <v>4.8719999999999996E-3</v>
      </c>
      <c r="Z60" s="483">
        <v>9.1629999999999993E-3</v>
      </c>
      <c r="AA60" s="483">
        <v>2.129E-2</v>
      </c>
      <c r="AB60" s="483">
        <v>3.6269999999999997E-2</v>
      </c>
      <c r="AC60" s="483">
        <v>4.7460000000000002E-2</v>
      </c>
      <c r="AD60" s="483">
        <v>6.368E-2</v>
      </c>
      <c r="AE60" s="483">
        <v>8.7230000000000002E-2</v>
      </c>
      <c r="AF60" s="483">
        <v>0.12130000000000001</v>
      </c>
      <c r="AG60" s="483">
        <v>0.14680000000000001</v>
      </c>
      <c r="AH60" s="484">
        <v>0.17780000000000001</v>
      </c>
    </row>
    <row r="61" spans="1:34" ht="15.75">
      <c r="A61" s="295"/>
      <c r="B61" s="295"/>
      <c r="C61" s="295"/>
      <c r="D61" s="295"/>
      <c r="E61" s="295"/>
      <c r="F61" s="295"/>
      <c r="G61" s="295"/>
      <c r="H61" s="295"/>
      <c r="I61" s="295"/>
      <c r="J61" s="295"/>
      <c r="K61" s="295"/>
      <c r="L61" s="295"/>
      <c r="M61" s="295"/>
      <c r="N61" s="295"/>
      <c r="O61" s="295"/>
      <c r="P61" s="295"/>
      <c r="Q61" s="295"/>
      <c r="R61" s="295"/>
      <c r="S61" s="295"/>
      <c r="T61" s="295"/>
      <c r="U61" s="295"/>
      <c r="V61" s="295"/>
      <c r="W61" s="482" t="s">
        <v>396</v>
      </c>
      <c r="X61" s="483">
        <v>3.3809999999999998E-4</v>
      </c>
      <c r="Y61" s="483">
        <v>4.8669999999999998E-3</v>
      </c>
      <c r="Z61" s="483">
        <v>2.7420000000000001E-3</v>
      </c>
      <c r="AA61" s="483">
        <v>3.5119999999999999E-3</v>
      </c>
      <c r="AB61" s="483">
        <v>9.1070000000000005E-3</v>
      </c>
      <c r="AC61" s="483">
        <v>1.3610000000000001E-2</v>
      </c>
      <c r="AD61" s="483">
        <v>1.789E-2</v>
      </c>
      <c r="AE61" s="483">
        <v>2.4320000000000001E-2</v>
      </c>
      <c r="AF61" s="483">
        <v>3.3399999999999999E-2</v>
      </c>
      <c r="AG61" s="483">
        <v>1.9040000000000001E-2</v>
      </c>
      <c r="AH61" s="484">
        <v>1.6559999999999998E-2</v>
      </c>
    </row>
    <row r="62" spans="1:34" ht="15.75">
      <c r="A62" s="295"/>
      <c r="B62" s="295"/>
      <c r="C62" s="295"/>
      <c r="D62" s="295"/>
      <c r="E62" s="295"/>
      <c r="F62" s="295"/>
      <c r="G62" s="295"/>
      <c r="H62" s="295"/>
      <c r="I62" s="295"/>
      <c r="J62" s="295"/>
      <c r="K62" s="295"/>
      <c r="L62" s="295"/>
      <c r="M62" s="295"/>
      <c r="N62" s="295"/>
      <c r="O62" s="295"/>
      <c r="P62" s="295"/>
      <c r="Q62" s="295"/>
      <c r="R62" s="295"/>
      <c r="S62" s="295"/>
      <c r="T62" s="295"/>
      <c r="U62" s="295"/>
      <c r="V62" s="295"/>
      <c r="W62" s="482" t="s">
        <v>397</v>
      </c>
      <c r="X62" s="483">
        <v>2.3059999999999999E-3</v>
      </c>
      <c r="Y62" s="483">
        <v>2.9329999999999998E-3</v>
      </c>
      <c r="Z62" s="483">
        <v>3.9830000000000004E-3</v>
      </c>
      <c r="AA62" s="483">
        <v>9.5230000000000002E-3</v>
      </c>
      <c r="AB62" s="483">
        <v>1.7139999999999999E-2</v>
      </c>
      <c r="AC62" s="483">
        <v>2.2579999999999999E-2</v>
      </c>
      <c r="AD62" s="483">
        <v>2.9600000000000001E-2</v>
      </c>
      <c r="AE62" s="483">
        <v>3.8449999999999998E-2</v>
      </c>
      <c r="AF62" s="483">
        <v>5.16E-2</v>
      </c>
      <c r="AG62" s="483">
        <v>6.1859999999999998E-2</v>
      </c>
      <c r="AH62" s="484">
        <v>7.2940000000000005E-2</v>
      </c>
    </row>
    <row r="63" spans="1:34" ht="15.75">
      <c r="A63" s="295"/>
      <c r="B63" s="295"/>
      <c r="C63" s="295"/>
      <c r="D63" s="295"/>
      <c r="E63" s="295"/>
      <c r="F63" s="295"/>
      <c r="G63" s="295"/>
      <c r="H63" s="295"/>
      <c r="I63" s="295"/>
      <c r="J63" s="295"/>
      <c r="K63" s="295"/>
      <c r="L63" s="295"/>
      <c r="M63" s="295"/>
      <c r="N63" s="295"/>
      <c r="O63" s="295"/>
      <c r="P63" s="295"/>
      <c r="Q63" s="295"/>
      <c r="R63" s="295"/>
      <c r="S63" s="295"/>
      <c r="T63" s="295"/>
      <c r="U63" s="295"/>
      <c r="V63" s="295"/>
      <c r="W63" s="482" t="s">
        <v>398</v>
      </c>
      <c r="X63" s="483">
        <v>1.6109999999999999E-2</v>
      </c>
      <c r="Y63" s="483">
        <v>2.094E-2</v>
      </c>
      <c r="Z63" s="483">
        <v>2.5930000000000002E-2</v>
      </c>
      <c r="AA63" s="483">
        <v>5.4399999999999997E-2</v>
      </c>
      <c r="AB63" s="483">
        <v>8.6919999999999997E-2</v>
      </c>
      <c r="AC63" s="483">
        <v>0.105</v>
      </c>
      <c r="AD63" s="483">
        <v>0.13089999999999999</v>
      </c>
      <c r="AE63" s="483">
        <v>0.1681</v>
      </c>
      <c r="AF63" s="483">
        <v>0.2208</v>
      </c>
      <c r="AG63" s="483">
        <v>0.26119999999999999</v>
      </c>
      <c r="AH63" s="484">
        <v>0.3054</v>
      </c>
    </row>
    <row r="64" spans="1:34" ht="15.75">
      <c r="A64" s="295"/>
      <c r="B64" s="295"/>
      <c r="C64" s="295"/>
      <c r="D64" s="295"/>
      <c r="E64" s="295"/>
      <c r="F64" s="295"/>
      <c r="G64" s="295"/>
      <c r="H64" s="295"/>
      <c r="I64" s="295"/>
      <c r="J64" s="295"/>
      <c r="K64" s="295"/>
      <c r="L64" s="295"/>
      <c r="M64" s="295"/>
      <c r="N64" s="295"/>
      <c r="O64" s="295"/>
      <c r="P64" s="295"/>
      <c r="Q64" s="295"/>
      <c r="R64" s="295"/>
      <c r="S64" s="295"/>
      <c r="T64" s="295"/>
      <c r="U64" s="295"/>
      <c r="V64" s="295"/>
      <c r="W64" s="482" t="s">
        <v>399</v>
      </c>
      <c r="X64" s="483">
        <v>6.2420000000000003E-2</v>
      </c>
      <c r="Y64" s="483">
        <v>7.6249999999999998E-2</v>
      </c>
      <c r="Z64" s="483">
        <v>8.8090000000000002E-2</v>
      </c>
      <c r="AA64" s="483">
        <v>0.13689999999999999</v>
      </c>
      <c r="AB64" s="483">
        <v>0.2051</v>
      </c>
      <c r="AC64" s="483">
        <v>0.2208</v>
      </c>
      <c r="AD64" s="483">
        <v>0.2626</v>
      </c>
      <c r="AE64" s="483">
        <v>0.31309999999999999</v>
      </c>
      <c r="AF64" s="483">
        <v>0.36720000000000003</v>
      </c>
      <c r="AG64" s="483">
        <v>0.4178</v>
      </c>
      <c r="AH64" s="484">
        <v>0.46110000000000001</v>
      </c>
    </row>
    <row r="65" spans="1:34" ht="15.75">
      <c r="A65" s="295"/>
      <c r="B65" s="295"/>
      <c r="C65" s="295"/>
      <c r="D65" s="295"/>
      <c r="E65" s="295"/>
      <c r="F65" s="295"/>
      <c r="G65" s="295"/>
      <c r="H65" s="295"/>
      <c r="I65" s="295"/>
      <c r="J65" s="295"/>
      <c r="K65" s="295"/>
      <c r="L65" s="295"/>
      <c r="M65" s="295"/>
      <c r="N65" s="295"/>
      <c r="O65" s="295"/>
      <c r="P65" s="295"/>
      <c r="Q65" s="295"/>
      <c r="R65" s="295"/>
      <c r="S65" s="295"/>
      <c r="T65" s="295"/>
      <c r="U65" s="295"/>
      <c r="V65" s="295"/>
      <c r="W65" s="482" t="s">
        <v>400</v>
      </c>
      <c r="X65" s="483">
        <v>5.2949999999999997E-2</v>
      </c>
      <c r="Y65" s="483">
        <v>5.6320000000000002E-2</v>
      </c>
      <c r="Z65" s="483">
        <v>6.1170000000000002E-2</v>
      </c>
      <c r="AA65" s="483">
        <v>9.1350000000000001E-2</v>
      </c>
      <c r="AB65" s="483">
        <v>0.1163</v>
      </c>
      <c r="AC65" s="483">
        <v>0.1153</v>
      </c>
      <c r="AD65" s="483">
        <v>0.1162</v>
      </c>
      <c r="AE65" s="483">
        <v>0.1167</v>
      </c>
      <c r="AF65" s="483">
        <v>0.11940000000000001</v>
      </c>
      <c r="AG65" s="483">
        <v>0.12690000000000001</v>
      </c>
      <c r="AH65" s="484">
        <v>0.13200000000000001</v>
      </c>
    </row>
    <row r="66" spans="1:34" ht="15.75">
      <c r="A66" s="295"/>
      <c r="B66" s="295"/>
      <c r="C66" s="295"/>
      <c r="D66" s="295"/>
      <c r="E66" s="295"/>
      <c r="F66" s="295"/>
      <c r="G66" s="295"/>
      <c r="H66" s="295"/>
      <c r="I66" s="295"/>
      <c r="J66" s="295"/>
      <c r="K66" s="295"/>
      <c r="L66" s="295"/>
      <c r="M66" s="295"/>
      <c r="N66" s="295"/>
      <c r="O66" s="295"/>
      <c r="P66" s="295"/>
      <c r="Q66" s="295"/>
      <c r="R66" s="295"/>
      <c r="S66" s="295"/>
      <c r="T66" s="295"/>
      <c r="U66" s="295"/>
      <c r="V66" s="295"/>
      <c r="W66" s="482" t="s">
        <v>401</v>
      </c>
      <c r="X66" s="483">
        <v>2.5310000000000001</v>
      </c>
      <c r="Y66" s="483">
        <v>3.16</v>
      </c>
      <c r="Z66" s="483">
        <v>4.3579999999999997</v>
      </c>
      <c r="AA66" s="483">
        <v>7.84</v>
      </c>
      <c r="AB66" s="483">
        <v>12.24</v>
      </c>
      <c r="AC66" s="483">
        <v>15.06</v>
      </c>
      <c r="AD66" s="483">
        <v>20</v>
      </c>
      <c r="AE66" s="483">
        <v>27.22</v>
      </c>
      <c r="AF66" s="483">
        <v>36.01</v>
      </c>
      <c r="AG66" s="483">
        <v>44.84</v>
      </c>
      <c r="AH66" s="484">
        <v>52.6</v>
      </c>
    </row>
    <row r="67" spans="1:34" ht="15.75">
      <c r="A67" s="295"/>
      <c r="B67" s="295"/>
      <c r="C67" s="295"/>
      <c r="D67" s="295"/>
      <c r="E67" s="295"/>
      <c r="F67" s="295"/>
      <c r="G67" s="295"/>
      <c r="H67" s="295"/>
      <c r="I67" s="295"/>
      <c r="J67" s="295"/>
      <c r="K67" s="295"/>
      <c r="L67" s="295"/>
      <c r="M67" s="295"/>
      <c r="N67" s="295"/>
      <c r="O67" s="295"/>
      <c r="P67" s="295"/>
      <c r="Q67" s="295"/>
      <c r="R67" s="295"/>
      <c r="S67" s="295"/>
      <c r="T67" s="295"/>
      <c r="U67" s="295"/>
      <c r="V67" s="295"/>
      <c r="W67" s="482" t="s">
        <v>268</v>
      </c>
      <c r="X67" s="483">
        <v>0.79720000000000002</v>
      </c>
      <c r="Y67" s="483">
        <v>0.97840000000000005</v>
      </c>
      <c r="Z67" s="483">
        <v>1.3819999999999999</v>
      </c>
      <c r="AA67" s="483">
        <v>2.6459999999999999</v>
      </c>
      <c r="AB67" s="483">
        <v>4.8730000000000002</v>
      </c>
      <c r="AC67" s="483">
        <v>6.7149999999999999</v>
      </c>
      <c r="AD67" s="483">
        <v>9.2949999999999999</v>
      </c>
      <c r="AE67" s="483">
        <v>12.31</v>
      </c>
      <c r="AF67" s="483">
        <v>15.56</v>
      </c>
      <c r="AG67" s="483">
        <v>18.600000000000001</v>
      </c>
      <c r="AH67" s="484">
        <v>21.21</v>
      </c>
    </row>
    <row r="68" spans="1:34" ht="15.75">
      <c r="A68" s="295"/>
      <c r="B68" s="295"/>
      <c r="C68" s="295"/>
      <c r="D68" s="295"/>
      <c r="E68" s="295"/>
      <c r="F68" s="295"/>
      <c r="G68" s="295"/>
      <c r="H68" s="295"/>
      <c r="I68" s="295"/>
      <c r="J68" s="295"/>
      <c r="K68" s="295"/>
      <c r="L68" s="295"/>
      <c r="M68" s="295"/>
      <c r="N68" s="295"/>
      <c r="O68" s="295"/>
      <c r="P68" s="295"/>
      <c r="Q68" s="295"/>
      <c r="R68" s="295"/>
      <c r="S68" s="295"/>
      <c r="T68" s="295"/>
      <c r="U68" s="295"/>
      <c r="V68" s="295"/>
      <c r="W68" s="482" t="s">
        <v>402</v>
      </c>
      <c r="X68" s="483">
        <v>4.2229999999999997E-2</v>
      </c>
      <c r="Y68" s="483">
        <v>6.8010000000000001E-2</v>
      </c>
      <c r="Z68" s="483">
        <v>9.8400000000000001E-2</v>
      </c>
      <c r="AA68" s="483">
        <v>0.21690000000000001</v>
      </c>
      <c r="AB68" s="483">
        <v>0.51029999999999998</v>
      </c>
      <c r="AC68" s="483">
        <v>0.73029999999999995</v>
      </c>
      <c r="AD68" s="483">
        <v>1.0680000000000001</v>
      </c>
      <c r="AE68" s="483">
        <v>1.6359999999999999</v>
      </c>
      <c r="AF68" s="483">
        <v>2.2989999999999999</v>
      </c>
      <c r="AG68" s="483">
        <v>3.0009999999999999</v>
      </c>
      <c r="AH68" s="484">
        <v>3.7269999999999999</v>
      </c>
    </row>
    <row r="69" spans="1:34" ht="15.75">
      <c r="A69" s="295"/>
      <c r="B69" s="295"/>
      <c r="C69" s="295"/>
      <c r="D69" s="295"/>
      <c r="E69" s="295"/>
      <c r="F69" s="295"/>
      <c r="G69" s="295"/>
      <c r="H69" s="295"/>
      <c r="I69" s="295"/>
      <c r="J69" s="295"/>
      <c r="K69" s="295"/>
      <c r="L69" s="295"/>
      <c r="M69" s="295"/>
      <c r="N69" s="295"/>
      <c r="O69" s="295"/>
      <c r="P69" s="295"/>
      <c r="Q69" s="295"/>
      <c r="R69" s="295"/>
      <c r="S69" s="295"/>
      <c r="T69" s="295"/>
      <c r="U69" s="295"/>
      <c r="V69" s="295"/>
      <c r="W69" s="482" t="s">
        <v>403</v>
      </c>
      <c r="X69" s="483">
        <v>6.0290000000000003E-2</v>
      </c>
      <c r="Y69" s="483">
        <v>8.8370000000000004E-2</v>
      </c>
      <c r="Z69" s="483">
        <v>0.12870000000000001</v>
      </c>
      <c r="AA69" s="483">
        <v>0.2457</v>
      </c>
      <c r="AB69" s="483">
        <v>0.53849999999999998</v>
      </c>
      <c r="AC69" s="483">
        <v>0.65620000000000001</v>
      </c>
      <c r="AD69" s="483">
        <v>0.82589999999999997</v>
      </c>
      <c r="AE69" s="483">
        <v>1.0429999999999999</v>
      </c>
      <c r="AF69" s="483">
        <v>1.33</v>
      </c>
      <c r="AG69" s="483">
        <v>1.5489999999999999</v>
      </c>
      <c r="AH69" s="484">
        <v>1.782</v>
      </c>
    </row>
    <row r="70" spans="1:34" ht="15.75">
      <c r="A70" s="295"/>
      <c r="B70" s="295"/>
      <c r="C70" s="295"/>
      <c r="D70" s="295"/>
      <c r="E70" s="295"/>
      <c r="F70" s="295"/>
      <c r="G70" s="295"/>
      <c r="H70" s="295"/>
      <c r="I70" s="295"/>
      <c r="J70" s="295"/>
      <c r="K70" s="295"/>
      <c r="L70" s="295"/>
      <c r="M70" s="295"/>
      <c r="N70" s="295"/>
      <c r="O70" s="295"/>
      <c r="P70" s="295"/>
      <c r="Q70" s="295"/>
      <c r="R70" s="295"/>
      <c r="S70" s="295"/>
      <c r="T70" s="295"/>
      <c r="U70" s="295"/>
      <c r="V70" s="295"/>
      <c r="W70" s="482" t="s">
        <v>404</v>
      </c>
      <c r="X70" s="483">
        <v>0.1772</v>
      </c>
      <c r="Y70" s="483">
        <v>0.22220000000000001</v>
      </c>
      <c r="Z70" s="483">
        <v>0.2661</v>
      </c>
      <c r="AA70" s="483">
        <v>0.45910000000000001</v>
      </c>
      <c r="AB70" s="483">
        <v>0.68669999999999998</v>
      </c>
      <c r="AC70" s="483">
        <v>0.71550000000000002</v>
      </c>
      <c r="AD70" s="483">
        <v>0.81640000000000001</v>
      </c>
      <c r="AE70" s="483">
        <v>0.92779999999999996</v>
      </c>
      <c r="AF70" s="483">
        <v>1.04</v>
      </c>
      <c r="AG70" s="483">
        <v>1.1419999999999999</v>
      </c>
      <c r="AH70" s="484">
        <v>1.23</v>
      </c>
    </row>
    <row r="71" spans="1:34" ht="15.75">
      <c r="A71" s="295"/>
      <c r="B71" s="295"/>
      <c r="C71" s="295"/>
      <c r="D71" s="295"/>
      <c r="E71" s="295"/>
      <c r="F71" s="295"/>
      <c r="G71" s="295"/>
      <c r="H71" s="295"/>
      <c r="I71" s="295"/>
      <c r="J71" s="295"/>
      <c r="K71" s="295"/>
      <c r="L71" s="295"/>
      <c r="M71" s="295"/>
      <c r="N71" s="295"/>
      <c r="O71" s="295"/>
      <c r="P71" s="295"/>
      <c r="Q71" s="295"/>
      <c r="R71" s="295"/>
      <c r="S71" s="295"/>
      <c r="T71" s="295"/>
      <c r="U71" s="295"/>
      <c r="V71" s="295"/>
      <c r="W71" s="482" t="s">
        <v>405</v>
      </c>
      <c r="X71" s="483">
        <v>7.8310000000000005E-2</v>
      </c>
      <c r="Y71" s="483">
        <v>0.1048</v>
      </c>
      <c r="Z71" s="483">
        <v>0.1517</v>
      </c>
      <c r="AA71" s="483">
        <v>0.31319999999999998</v>
      </c>
      <c r="AB71" s="483">
        <v>0.57730000000000004</v>
      </c>
      <c r="AC71" s="483">
        <v>0.74080000000000001</v>
      </c>
      <c r="AD71" s="483">
        <v>0.91800000000000004</v>
      </c>
      <c r="AE71" s="483">
        <v>1.0880000000000001</v>
      </c>
      <c r="AF71" s="483">
        <v>1.2370000000000001</v>
      </c>
      <c r="AG71" s="483">
        <v>1.3580000000000001</v>
      </c>
      <c r="AH71" s="484">
        <v>1.454</v>
      </c>
    </row>
    <row r="72" spans="1:34" ht="15.75">
      <c r="A72" s="295"/>
      <c r="B72" s="295"/>
      <c r="C72" s="295"/>
      <c r="D72" s="295"/>
      <c r="E72" s="295"/>
      <c r="F72" s="295"/>
      <c r="G72" s="295"/>
      <c r="H72" s="295"/>
      <c r="I72" s="295"/>
      <c r="J72" s="295"/>
      <c r="K72" s="295"/>
      <c r="L72" s="295"/>
      <c r="M72" s="295"/>
      <c r="N72" s="295"/>
      <c r="O72" s="295"/>
      <c r="P72" s="295"/>
      <c r="Q72" s="295"/>
      <c r="R72" s="295"/>
      <c r="S72" s="295"/>
      <c r="T72" s="295"/>
      <c r="U72" s="295"/>
      <c r="V72" s="295"/>
      <c r="W72" s="482" t="s">
        <v>406</v>
      </c>
      <c r="X72" s="483">
        <v>1.246</v>
      </c>
      <c r="Y72" s="483">
        <v>1.4990000000000001</v>
      </c>
      <c r="Z72" s="483">
        <v>1.6870000000000001</v>
      </c>
      <c r="AA72" s="483">
        <v>2.7</v>
      </c>
      <c r="AB72" s="483">
        <v>3.91</v>
      </c>
      <c r="AC72" s="483">
        <v>4.0609999999999999</v>
      </c>
      <c r="AD72" s="483">
        <v>4.6820000000000004</v>
      </c>
      <c r="AE72" s="483">
        <v>5.383</v>
      </c>
      <c r="AF72" s="483">
        <v>6.0739999999999998</v>
      </c>
      <c r="AG72" s="483">
        <v>6.68</v>
      </c>
      <c r="AH72" s="484">
        <v>7.1769999999999996</v>
      </c>
    </row>
    <row r="73" spans="1:34" ht="15.75">
      <c r="A73" s="295"/>
      <c r="B73" s="295"/>
      <c r="C73" s="295"/>
      <c r="D73" s="295"/>
      <c r="E73" s="295"/>
      <c r="F73" s="295"/>
      <c r="G73" s="295"/>
      <c r="H73" s="295"/>
      <c r="I73" s="295"/>
      <c r="J73" s="295"/>
      <c r="K73" s="295"/>
      <c r="L73" s="295"/>
      <c r="M73" s="295"/>
      <c r="N73" s="295"/>
      <c r="O73" s="295"/>
      <c r="P73" s="295"/>
      <c r="Q73" s="295"/>
      <c r="R73" s="295"/>
      <c r="S73" s="295"/>
      <c r="T73" s="295"/>
      <c r="U73" s="295"/>
      <c r="V73" s="295"/>
      <c r="W73" s="482" t="s">
        <v>407</v>
      </c>
      <c r="X73" s="483">
        <v>6.1069999999999996E-3</v>
      </c>
      <c r="Y73" s="483">
        <v>8.5710000000000005E-3</v>
      </c>
      <c r="Z73" s="483">
        <v>1.205E-2</v>
      </c>
      <c r="AA73" s="483">
        <v>2.402E-2</v>
      </c>
      <c r="AB73" s="483">
        <v>3.9690000000000003E-2</v>
      </c>
      <c r="AC73" s="483">
        <v>5.296E-2</v>
      </c>
      <c r="AD73" s="483">
        <v>6.9879999999999998E-2</v>
      </c>
      <c r="AE73" s="483">
        <v>9.1300000000000006E-2</v>
      </c>
      <c r="AF73" s="483">
        <v>0.1193</v>
      </c>
      <c r="AG73" s="483">
        <v>0.1409</v>
      </c>
      <c r="AH73" s="484">
        <v>0.16350000000000001</v>
      </c>
    </row>
    <row r="74" spans="1:34" ht="15.75">
      <c r="A74" s="295"/>
      <c r="B74" s="295"/>
      <c r="C74" s="295"/>
      <c r="D74" s="295"/>
      <c r="E74" s="295"/>
      <c r="F74" s="295"/>
      <c r="G74" s="295"/>
      <c r="H74" s="295"/>
      <c r="I74" s="295"/>
      <c r="J74" s="295"/>
      <c r="K74" s="295"/>
      <c r="L74" s="295"/>
      <c r="M74" s="295"/>
      <c r="N74" s="295"/>
      <c r="O74" s="295"/>
      <c r="P74" s="295"/>
      <c r="Q74" s="295"/>
      <c r="R74" s="295"/>
      <c r="S74" s="295"/>
      <c r="T74" s="295"/>
      <c r="U74" s="295"/>
      <c r="V74" s="295"/>
      <c r="W74" s="482" t="s">
        <v>408</v>
      </c>
      <c r="X74" s="483">
        <v>1.6410000000000001E-2</v>
      </c>
      <c r="Y74" s="483">
        <v>1.951E-2</v>
      </c>
      <c r="Z74" s="483">
        <v>2.418E-2</v>
      </c>
      <c r="AA74" s="483">
        <v>4.9299999999999997E-2</v>
      </c>
      <c r="AB74" s="483">
        <v>7.6139999999999999E-2</v>
      </c>
      <c r="AC74" s="483">
        <v>8.9990000000000001E-2</v>
      </c>
      <c r="AD74" s="483">
        <v>0.109</v>
      </c>
      <c r="AE74" s="483">
        <v>0.13500000000000001</v>
      </c>
      <c r="AF74" s="483">
        <v>0.17130000000000001</v>
      </c>
      <c r="AG74" s="483">
        <v>0.1966</v>
      </c>
      <c r="AH74" s="484">
        <v>0.224</v>
      </c>
    </row>
    <row r="75" spans="1:34" ht="15.75">
      <c r="A75" s="295"/>
      <c r="B75" s="295"/>
      <c r="C75" s="295"/>
      <c r="D75" s="295"/>
      <c r="E75" s="295"/>
      <c r="F75" s="295"/>
      <c r="G75" s="295"/>
      <c r="H75" s="295"/>
      <c r="I75" s="295"/>
      <c r="J75" s="295"/>
      <c r="K75" s="295"/>
      <c r="L75" s="295"/>
      <c r="M75" s="295"/>
      <c r="N75" s="295"/>
      <c r="O75" s="295"/>
      <c r="P75" s="295"/>
      <c r="Q75" s="295"/>
      <c r="R75" s="295"/>
      <c r="S75" s="295"/>
      <c r="T75" s="295"/>
      <c r="U75" s="295"/>
      <c r="V75" s="295"/>
      <c r="W75" s="482" t="s">
        <v>409</v>
      </c>
      <c r="X75" s="483">
        <v>8.0050000000000008</v>
      </c>
      <c r="Y75" s="483">
        <v>9.0039999999999996</v>
      </c>
      <c r="Z75" s="483">
        <v>10.47</v>
      </c>
      <c r="AA75" s="483">
        <v>16.579999999999998</v>
      </c>
      <c r="AB75" s="483">
        <v>23.02</v>
      </c>
      <c r="AC75" s="483">
        <v>25.15</v>
      </c>
      <c r="AD75" s="483">
        <v>30.2</v>
      </c>
      <c r="AE75" s="483">
        <v>35.29</v>
      </c>
      <c r="AF75" s="483">
        <v>40.950000000000003</v>
      </c>
      <c r="AG75" s="483">
        <v>46.14</v>
      </c>
      <c r="AH75" s="484">
        <v>50.62</v>
      </c>
    </row>
    <row r="76" spans="1:34" ht="15.75">
      <c r="A76" s="295"/>
      <c r="B76" s="295"/>
      <c r="C76" s="295"/>
      <c r="D76" s="295"/>
      <c r="E76" s="295"/>
      <c r="F76" s="295"/>
      <c r="G76" s="295"/>
      <c r="H76" s="295"/>
      <c r="I76" s="295"/>
      <c r="J76" s="295"/>
      <c r="K76" s="295"/>
      <c r="L76" s="295"/>
      <c r="M76" s="295"/>
      <c r="N76" s="295"/>
      <c r="O76" s="295"/>
      <c r="P76" s="295"/>
      <c r="Q76" s="295"/>
      <c r="R76" s="295"/>
      <c r="S76" s="295"/>
      <c r="T76" s="295"/>
      <c r="U76" s="295"/>
      <c r="V76" s="295"/>
      <c r="W76" s="482" t="s">
        <v>410</v>
      </c>
      <c r="X76" s="483">
        <v>5.9429999999999997E-2</v>
      </c>
      <c r="Y76" s="483">
        <v>6.9669999999999996E-2</v>
      </c>
      <c r="Z76" s="483">
        <v>8.7340000000000001E-2</v>
      </c>
      <c r="AA76" s="483">
        <v>0.17100000000000001</v>
      </c>
      <c r="AB76" s="483">
        <v>0.30170000000000002</v>
      </c>
      <c r="AC76" s="483">
        <v>0.36199999999999999</v>
      </c>
      <c r="AD76" s="483">
        <v>0.44569999999999999</v>
      </c>
      <c r="AE76" s="483">
        <v>0.56399999999999995</v>
      </c>
      <c r="AF76" s="483">
        <v>0.72270000000000001</v>
      </c>
      <c r="AG76" s="483">
        <v>0.84599999999999997</v>
      </c>
      <c r="AH76" s="484">
        <v>0.98170000000000002</v>
      </c>
    </row>
    <row r="77" spans="1:34" ht="15.75">
      <c r="A77" s="295"/>
      <c r="B77" s="295"/>
      <c r="C77" s="295"/>
      <c r="D77" s="295"/>
      <c r="E77" s="295"/>
      <c r="F77" s="295"/>
      <c r="G77" s="295"/>
      <c r="H77" s="295"/>
      <c r="I77" s="295"/>
      <c r="J77" s="295"/>
      <c r="K77" s="295"/>
      <c r="L77" s="295"/>
      <c r="M77" s="295"/>
      <c r="N77" s="295"/>
      <c r="O77" s="295"/>
      <c r="P77" s="295"/>
      <c r="Q77" s="295"/>
      <c r="R77" s="295"/>
      <c r="S77" s="295"/>
      <c r="T77" s="295"/>
      <c r="U77" s="295"/>
      <c r="V77" s="295"/>
      <c r="W77" s="482" t="s">
        <v>411</v>
      </c>
      <c r="X77" s="483">
        <v>7.0209999999999995E-2</v>
      </c>
      <c r="Y77" s="483">
        <v>8.9190000000000005E-2</v>
      </c>
      <c r="Z77" s="483">
        <v>0.115</v>
      </c>
      <c r="AA77" s="483">
        <v>0.24079999999999999</v>
      </c>
      <c r="AB77" s="483">
        <v>0.41010000000000002</v>
      </c>
      <c r="AC77" s="483">
        <v>0.50849999999999995</v>
      </c>
      <c r="AD77" s="483">
        <v>0.65239999999999998</v>
      </c>
      <c r="AE77" s="483">
        <v>0.84350000000000003</v>
      </c>
      <c r="AF77" s="483">
        <v>1.103</v>
      </c>
      <c r="AG77" s="483">
        <v>1.3</v>
      </c>
      <c r="AH77" s="484">
        <v>1.512</v>
      </c>
    </row>
    <row r="78" spans="1:34" ht="15.75">
      <c r="B78" s="295"/>
      <c r="C78" s="295"/>
      <c r="D78" s="295"/>
      <c r="E78" s="295"/>
      <c r="F78" s="295"/>
      <c r="G78" s="295"/>
      <c r="H78" s="295"/>
      <c r="I78" s="295"/>
      <c r="J78" s="295"/>
      <c r="K78" s="295"/>
      <c r="L78" s="295"/>
      <c r="M78" s="295"/>
      <c r="N78" s="295"/>
      <c r="O78" s="295"/>
      <c r="P78" s="295"/>
      <c r="Q78" s="295"/>
      <c r="R78" s="295"/>
      <c r="S78" s="295"/>
      <c r="T78" s="295"/>
      <c r="U78" s="295"/>
      <c r="V78" s="295"/>
      <c r="W78" s="482" t="s">
        <v>412</v>
      </c>
      <c r="X78" s="483">
        <v>6.6080000000000002E-3</v>
      </c>
      <c r="Y78" s="483">
        <v>8.7919999999999995E-3</v>
      </c>
      <c r="Z78" s="483">
        <v>1.2449999999999999E-2</v>
      </c>
      <c r="AA78" s="483">
        <v>2.4539999999999999E-2</v>
      </c>
      <c r="AB78" s="483">
        <v>4.1930000000000002E-2</v>
      </c>
      <c r="AC78" s="483">
        <v>5.8569999999999997E-2</v>
      </c>
      <c r="AD78" s="483">
        <v>8.4080000000000002E-2</v>
      </c>
      <c r="AE78" s="483">
        <v>0.1129</v>
      </c>
      <c r="AF78" s="483">
        <v>0.14349999999999999</v>
      </c>
      <c r="AG78" s="483">
        <v>0.1736</v>
      </c>
      <c r="AH78" s="484">
        <v>0.20330000000000001</v>
      </c>
    </row>
    <row r="79" spans="1:34" ht="15.75">
      <c r="A79" s="295"/>
      <c r="B79" s="295"/>
      <c r="C79" s="295"/>
      <c r="D79" s="295"/>
      <c r="E79" s="295"/>
      <c r="F79" s="295"/>
      <c r="G79" s="295"/>
      <c r="H79" s="295"/>
      <c r="I79" s="295"/>
      <c r="J79" s="295"/>
      <c r="K79" s="295"/>
      <c r="L79" s="295"/>
      <c r="M79" s="295"/>
      <c r="N79" s="295"/>
      <c r="O79" s="295"/>
      <c r="P79" s="295"/>
      <c r="Q79" s="295"/>
      <c r="R79" s="295"/>
      <c r="S79" s="295"/>
      <c r="T79" s="295"/>
      <c r="U79" s="295"/>
      <c r="V79" s="295"/>
      <c r="W79" s="482" t="s">
        <v>413</v>
      </c>
      <c r="X79" s="483">
        <v>0.2392</v>
      </c>
      <c r="Y79" s="483">
        <v>0.28449999999999998</v>
      </c>
      <c r="Z79" s="483">
        <v>0.29759999999999998</v>
      </c>
      <c r="AA79" s="483">
        <v>0.56000000000000005</v>
      </c>
      <c r="AB79" s="483">
        <v>0.67500000000000004</v>
      </c>
      <c r="AC79" s="483">
        <v>0.84389999999999998</v>
      </c>
      <c r="AD79" s="483">
        <v>1.0680000000000001</v>
      </c>
      <c r="AE79" s="483">
        <v>1.2070000000000001</v>
      </c>
      <c r="AF79" s="483">
        <v>1.383</v>
      </c>
      <c r="AG79" s="483">
        <v>1.599</v>
      </c>
      <c r="AH79" s="484">
        <v>1.819</v>
      </c>
    </row>
    <row r="80" spans="1:34" ht="15.75">
      <c r="A80" s="295"/>
      <c r="B80" s="295"/>
      <c r="C80" s="295"/>
      <c r="D80" s="295"/>
      <c r="E80" s="295"/>
      <c r="F80" s="295"/>
      <c r="G80" s="295"/>
      <c r="H80" s="295"/>
      <c r="I80" s="295"/>
      <c r="J80" s="295"/>
      <c r="K80" s="295"/>
      <c r="L80" s="295"/>
      <c r="M80" s="295"/>
      <c r="N80" s="295"/>
      <c r="O80" s="295"/>
      <c r="P80" s="295"/>
      <c r="Q80" s="295"/>
      <c r="R80" s="295"/>
      <c r="S80" s="295"/>
      <c r="T80" s="295"/>
      <c r="U80" s="295"/>
      <c r="V80" s="295"/>
      <c r="W80" s="482" t="s">
        <v>414</v>
      </c>
      <c r="X80" s="483">
        <v>1.315E-2</v>
      </c>
      <c r="Y80" s="483">
        <v>1.5980000000000001E-2</v>
      </c>
      <c r="Z80" s="483">
        <v>1.915E-2</v>
      </c>
      <c r="AA80" s="483">
        <v>3.9620000000000002E-2</v>
      </c>
      <c r="AB80" s="483">
        <v>6.3219999999999998E-2</v>
      </c>
      <c r="AC80" s="483">
        <v>7.8630000000000005E-2</v>
      </c>
      <c r="AD80" s="483">
        <v>0.10009999999999999</v>
      </c>
      <c r="AE80" s="483">
        <v>0.13039999999999999</v>
      </c>
      <c r="AF80" s="483">
        <v>0.1731</v>
      </c>
      <c r="AG80" s="483">
        <v>0.20349999999999999</v>
      </c>
      <c r="AH80" s="484">
        <v>0.2364</v>
      </c>
    </row>
    <row r="81" spans="1:34" ht="15.75">
      <c r="A81" s="295"/>
      <c r="B81" s="295"/>
      <c r="C81" s="295"/>
      <c r="D81" s="295"/>
      <c r="E81" s="295"/>
      <c r="F81" s="295"/>
      <c r="G81" s="295"/>
      <c r="H81" s="295"/>
      <c r="I81" s="295"/>
      <c r="J81" s="295"/>
      <c r="K81" s="295"/>
      <c r="L81" s="295"/>
      <c r="M81" s="295"/>
      <c r="N81" s="295"/>
      <c r="O81" s="295"/>
      <c r="P81" s="295"/>
      <c r="Q81" s="295"/>
      <c r="R81" s="295"/>
      <c r="S81" s="295"/>
      <c r="T81" s="295"/>
      <c r="U81" s="295"/>
      <c r="V81" s="295"/>
      <c r="W81" s="482" t="s">
        <v>415</v>
      </c>
      <c r="X81" s="483">
        <v>2.0619999999999999E-2</v>
      </c>
      <c r="Y81" s="483">
        <v>2.665E-2</v>
      </c>
      <c r="Z81" s="483">
        <v>3.356E-2</v>
      </c>
      <c r="AA81" s="483">
        <v>6.6739999999999994E-2</v>
      </c>
      <c r="AB81" s="483">
        <v>0.11119999999999999</v>
      </c>
      <c r="AC81" s="483">
        <v>0.14000000000000001</v>
      </c>
      <c r="AD81" s="483">
        <v>0.17929999999999999</v>
      </c>
      <c r="AE81" s="483">
        <v>0.2346</v>
      </c>
      <c r="AF81" s="483">
        <v>0.31169999999999998</v>
      </c>
      <c r="AG81" s="483">
        <v>0.36849999999999999</v>
      </c>
      <c r="AH81" s="484">
        <v>0.43070000000000003</v>
      </c>
    </row>
    <row r="82" spans="1:34" ht="15.75">
      <c r="A82" s="295"/>
      <c r="B82" s="295"/>
      <c r="C82" s="295"/>
      <c r="D82" s="295"/>
      <c r="E82" s="295"/>
      <c r="F82" s="295"/>
      <c r="G82" s="295"/>
      <c r="H82" s="295"/>
      <c r="I82" s="295"/>
      <c r="J82" s="295"/>
      <c r="K82" s="295"/>
      <c r="L82" s="295"/>
      <c r="M82" s="295"/>
      <c r="N82" s="295"/>
      <c r="O82" s="295"/>
      <c r="P82" s="295"/>
      <c r="Q82" s="295"/>
      <c r="R82" s="295"/>
      <c r="S82" s="295"/>
      <c r="T82" s="295"/>
      <c r="U82" s="295"/>
      <c r="V82" s="295"/>
      <c r="W82" s="482" t="s">
        <v>416</v>
      </c>
      <c r="X82" s="483">
        <v>2.0539999999999999E-2</v>
      </c>
      <c r="Y82" s="483">
        <v>2.5159999999999998E-2</v>
      </c>
      <c r="Z82" s="483">
        <v>2.8809999999999999E-2</v>
      </c>
      <c r="AA82" s="483">
        <v>4.7480000000000001E-2</v>
      </c>
      <c r="AB82" s="483">
        <v>6.9720000000000004E-2</v>
      </c>
      <c r="AC82" s="483">
        <v>7.281E-2</v>
      </c>
      <c r="AD82" s="483">
        <v>8.4370000000000001E-2</v>
      </c>
      <c r="AE82" s="483">
        <v>9.7739999999999994E-2</v>
      </c>
      <c r="AF82" s="483">
        <v>0.1114</v>
      </c>
      <c r="AG82" s="483">
        <v>0.12379999999999999</v>
      </c>
      <c r="AH82" s="484">
        <v>0.1343</v>
      </c>
    </row>
    <row r="83" spans="1:34" ht="15.75">
      <c r="A83" s="295"/>
      <c r="B83" s="295"/>
      <c r="C83" s="295"/>
      <c r="D83" s="295"/>
      <c r="E83" s="295"/>
      <c r="F83" s="295"/>
      <c r="G83" s="295"/>
      <c r="H83" s="295"/>
      <c r="I83" s="295"/>
      <c r="J83" s="295"/>
      <c r="K83" s="295"/>
      <c r="L83" s="295"/>
      <c r="M83" s="295"/>
      <c r="N83" s="295"/>
      <c r="O83" s="295"/>
      <c r="P83" s="295"/>
      <c r="Q83" s="295"/>
      <c r="R83" s="295"/>
      <c r="S83" s="295"/>
      <c r="T83" s="295"/>
      <c r="U83" s="295"/>
      <c r="V83" s="295"/>
      <c r="W83" s="482" t="s">
        <v>417</v>
      </c>
      <c r="X83" s="483">
        <v>4.6190000000000002E-2</v>
      </c>
      <c r="Y83" s="483">
        <v>5.4719999999999998E-2</v>
      </c>
      <c r="Z83" s="483">
        <v>5.978E-2</v>
      </c>
      <c r="AA83" s="483">
        <v>0.1153</v>
      </c>
      <c r="AB83" s="483">
        <v>0.17150000000000001</v>
      </c>
      <c r="AC83" s="483">
        <v>0.20269999999999999</v>
      </c>
      <c r="AD83" s="483">
        <v>0.24340000000000001</v>
      </c>
      <c r="AE83" s="483">
        <v>0.29930000000000001</v>
      </c>
      <c r="AF83" s="483">
        <v>0.37409999999999999</v>
      </c>
      <c r="AG83" s="483">
        <v>0.42680000000000001</v>
      </c>
      <c r="AH83" s="484">
        <v>0.48430000000000001</v>
      </c>
    </row>
    <row r="84" spans="1:34" ht="15.75">
      <c r="A84" s="295"/>
      <c r="B84" s="295"/>
      <c r="C84" s="295"/>
      <c r="D84" s="295"/>
      <c r="E84" s="295"/>
      <c r="F84" s="295"/>
      <c r="G84" s="295"/>
      <c r="H84" s="295"/>
      <c r="I84" s="295"/>
      <c r="J84" s="295"/>
      <c r="K84" s="295"/>
      <c r="L84" s="295"/>
      <c r="M84" s="295"/>
      <c r="N84" s="295"/>
      <c r="O84" s="295"/>
      <c r="P84" s="295"/>
      <c r="Q84" s="295"/>
      <c r="R84" s="295"/>
      <c r="S84" s="295"/>
      <c r="T84" s="295"/>
      <c r="U84" s="295"/>
      <c r="V84" s="295"/>
      <c r="W84" s="482" t="s">
        <v>418</v>
      </c>
      <c r="X84" s="483">
        <v>8.8290000000000005E-4</v>
      </c>
      <c r="Y84" s="483">
        <v>8.0929999999999999E-4</v>
      </c>
      <c r="Z84" s="483">
        <v>8.8880000000000003E-4</v>
      </c>
      <c r="AA84" s="483">
        <v>1.534E-3</v>
      </c>
      <c r="AB84" s="483">
        <v>2.2759999999999998E-3</v>
      </c>
      <c r="AC84" s="483">
        <v>2.6619999999999999E-3</v>
      </c>
      <c r="AD84" s="483">
        <v>3.1979999999999999E-3</v>
      </c>
      <c r="AE84" s="483">
        <v>3.9430000000000003E-3</v>
      </c>
      <c r="AF84" s="483">
        <v>5.0289999999999996E-3</v>
      </c>
      <c r="AG84" s="483">
        <v>5.6429999999999996E-3</v>
      </c>
      <c r="AH84" s="484">
        <v>6.3020000000000003E-3</v>
      </c>
    </row>
    <row r="85" spans="1:34" ht="15.75">
      <c r="A85" s="295"/>
      <c r="B85" s="295"/>
      <c r="C85" s="295"/>
      <c r="D85" s="295"/>
      <c r="E85" s="295"/>
      <c r="F85" s="295"/>
      <c r="G85" s="295"/>
      <c r="H85" s="295"/>
      <c r="I85" s="295"/>
      <c r="J85" s="295"/>
      <c r="K85" s="295"/>
      <c r="L85" s="295"/>
      <c r="M85" s="295"/>
      <c r="N85" s="295"/>
      <c r="O85" s="295"/>
      <c r="P85" s="295"/>
      <c r="Q85" s="295"/>
      <c r="R85" s="295"/>
      <c r="S85" s="295"/>
      <c r="T85" s="295"/>
      <c r="U85" s="295"/>
      <c r="V85" s="295"/>
      <c r="W85" s="482" t="s">
        <v>419</v>
      </c>
      <c r="X85" s="483">
        <v>1.84E-2</v>
      </c>
      <c r="Y85" s="483">
        <v>2.155E-2</v>
      </c>
      <c r="Z85" s="483">
        <v>2.3730000000000001E-2</v>
      </c>
      <c r="AA85" s="483">
        <v>3.805E-2</v>
      </c>
      <c r="AB85" s="483">
        <v>5.568E-2</v>
      </c>
      <c r="AC85" s="483">
        <v>5.96E-2</v>
      </c>
      <c r="AD85" s="483">
        <v>7.145E-2</v>
      </c>
      <c r="AE85" s="483">
        <v>8.566E-2</v>
      </c>
      <c r="AF85" s="483">
        <v>0.10050000000000001</v>
      </c>
      <c r="AG85" s="483">
        <v>0.1142</v>
      </c>
      <c r="AH85" s="484">
        <v>0.12559999999999999</v>
      </c>
    </row>
    <row r="86" spans="1:34" ht="15.75">
      <c r="A86" s="295"/>
      <c r="B86" s="295"/>
      <c r="C86" s="295"/>
      <c r="D86" s="295"/>
      <c r="E86" s="295"/>
      <c r="F86" s="295"/>
      <c r="G86" s="295"/>
      <c r="H86" s="295"/>
      <c r="I86" s="295"/>
      <c r="J86" s="295"/>
      <c r="K86" s="295"/>
      <c r="L86" s="295"/>
      <c r="M86" s="295"/>
      <c r="N86" s="295"/>
      <c r="O86" s="295"/>
      <c r="P86" s="295"/>
      <c r="Q86" s="295"/>
      <c r="R86" s="295"/>
      <c r="S86" s="295"/>
      <c r="T86" s="295"/>
      <c r="U86" s="295"/>
      <c r="V86" s="295"/>
      <c r="W86" s="482" t="s">
        <v>420</v>
      </c>
      <c r="X86" s="483">
        <v>6.3920000000000005E-2</v>
      </c>
      <c r="Y86" s="483">
        <v>6.9720000000000004E-2</v>
      </c>
      <c r="Z86" s="483">
        <v>7.5620000000000007E-2</v>
      </c>
      <c r="AA86" s="483">
        <v>0.1288</v>
      </c>
      <c r="AB86" s="483">
        <v>0.16209999999999999</v>
      </c>
      <c r="AC86" s="483">
        <v>0.1605</v>
      </c>
      <c r="AD86" s="483">
        <v>0.16059999999999999</v>
      </c>
      <c r="AE86" s="483">
        <v>0.1613</v>
      </c>
      <c r="AF86" s="483">
        <v>0.16639999999999999</v>
      </c>
      <c r="AG86" s="483">
        <v>0.18049999999999999</v>
      </c>
      <c r="AH86" s="484">
        <v>0.19159999999999999</v>
      </c>
    </row>
    <row r="87" spans="1:34" ht="15.75">
      <c r="A87" s="295"/>
      <c r="B87" s="295"/>
      <c r="C87" s="295"/>
      <c r="D87" s="295"/>
      <c r="E87" s="295"/>
      <c r="F87" s="295"/>
      <c r="G87" s="295"/>
      <c r="H87" s="295"/>
      <c r="I87" s="295"/>
      <c r="J87" s="295"/>
      <c r="K87" s="295"/>
      <c r="L87" s="295"/>
      <c r="M87" s="295"/>
      <c r="N87" s="295"/>
      <c r="O87" s="295"/>
      <c r="P87" s="295"/>
      <c r="Q87" s="295"/>
      <c r="R87" s="295"/>
      <c r="S87" s="295"/>
      <c r="T87" s="295"/>
      <c r="U87" s="295"/>
      <c r="V87" s="295"/>
      <c r="W87" s="482" t="s">
        <v>421</v>
      </c>
      <c r="X87" s="483">
        <v>1.9949999999999998E-3</v>
      </c>
      <c r="Y87" s="483">
        <v>2.336E-3</v>
      </c>
      <c r="Z87" s="483">
        <v>2.8869999999999998E-3</v>
      </c>
      <c r="AA87" s="483">
        <v>5.6299999999999996E-3</v>
      </c>
      <c r="AB87" s="483">
        <v>8.9610000000000002E-3</v>
      </c>
      <c r="AC87" s="483">
        <v>1.0970000000000001E-2</v>
      </c>
      <c r="AD87" s="483">
        <v>1.391E-2</v>
      </c>
      <c r="AE87" s="483">
        <v>1.7989999999999999E-2</v>
      </c>
      <c r="AF87" s="483">
        <v>2.3820000000000001E-2</v>
      </c>
      <c r="AG87" s="483">
        <v>2.811E-2</v>
      </c>
      <c r="AH87" s="484">
        <v>3.2770000000000001E-2</v>
      </c>
    </row>
    <row r="88" spans="1:34" ht="15.75">
      <c r="A88" s="295"/>
      <c r="B88" s="295"/>
      <c r="C88" s="295"/>
      <c r="D88" s="295"/>
      <c r="E88" s="295"/>
      <c r="F88" s="295"/>
      <c r="G88" s="295"/>
      <c r="H88" s="295"/>
      <c r="I88" s="295"/>
      <c r="J88" s="295"/>
      <c r="K88" s="295"/>
      <c r="L88" s="295"/>
      <c r="M88" s="295"/>
      <c r="N88" s="295"/>
      <c r="O88" s="295"/>
      <c r="P88" s="295"/>
      <c r="Q88" s="295"/>
      <c r="R88" s="295"/>
      <c r="S88" s="295"/>
      <c r="T88" s="295"/>
      <c r="U88" s="295"/>
      <c r="V88" s="295"/>
      <c r="W88" s="482" t="s">
        <v>422</v>
      </c>
      <c r="X88" s="483">
        <v>1.0189999999999999E-3</v>
      </c>
      <c r="Y88" s="483">
        <v>1.222E-3</v>
      </c>
      <c r="Z88" s="483">
        <v>1.5839999999999999E-3</v>
      </c>
      <c r="AA88" s="483">
        <v>3.0730000000000002E-3</v>
      </c>
      <c r="AB88" s="483">
        <v>5.4900000000000001E-3</v>
      </c>
      <c r="AC88" s="483">
        <v>7.4939999999999998E-3</v>
      </c>
      <c r="AD88" s="483">
        <v>1.0370000000000001E-2</v>
      </c>
      <c r="AE88" s="483">
        <v>1.4460000000000001E-2</v>
      </c>
      <c r="AF88" s="483">
        <v>2.0400000000000001E-2</v>
      </c>
      <c r="AG88" s="483">
        <v>2.7009999999999999E-2</v>
      </c>
      <c r="AH88" s="484">
        <v>3.4160000000000003E-2</v>
      </c>
    </row>
    <row r="89" spans="1:34" ht="15.75">
      <c r="A89" s="295"/>
      <c r="B89" s="295"/>
      <c r="C89" s="295"/>
      <c r="D89" s="295"/>
      <c r="E89" s="295"/>
      <c r="F89" s="295"/>
      <c r="G89" s="295"/>
      <c r="H89" s="295"/>
      <c r="I89" s="295"/>
      <c r="J89" s="295"/>
      <c r="K89" s="295"/>
      <c r="L89" s="295"/>
      <c r="M89" s="295"/>
      <c r="N89" s="295"/>
      <c r="O89" s="295"/>
      <c r="P89" s="295"/>
      <c r="Q89" s="295"/>
      <c r="R89" s="295"/>
      <c r="S89" s="295"/>
      <c r="T89" s="295"/>
      <c r="U89" s="295"/>
      <c r="V89" s="295"/>
      <c r="W89" s="482" t="s">
        <v>274</v>
      </c>
      <c r="X89" s="483">
        <v>0.23760000000000001</v>
      </c>
      <c r="Y89" s="483">
        <v>0.33090000000000003</v>
      </c>
      <c r="Z89" s="483">
        <v>0.43740000000000001</v>
      </c>
      <c r="AA89" s="483">
        <v>0.78800000000000003</v>
      </c>
      <c r="AB89" s="483">
        <v>1.26</v>
      </c>
      <c r="AC89" s="483">
        <v>1.6319999999999999</v>
      </c>
      <c r="AD89" s="483">
        <v>2.0259999999999998</v>
      </c>
      <c r="AE89" s="483">
        <v>2.4359999999999999</v>
      </c>
      <c r="AF89" s="483">
        <v>2.839</v>
      </c>
      <c r="AG89" s="483">
        <v>3.1970000000000001</v>
      </c>
      <c r="AH89" s="484">
        <v>3.512</v>
      </c>
    </row>
    <row r="90" spans="1:34" ht="15.75">
      <c r="A90" s="295"/>
      <c r="B90" s="295"/>
      <c r="C90" s="295"/>
      <c r="D90" s="295"/>
      <c r="E90" s="295"/>
      <c r="F90" s="295"/>
      <c r="G90" s="295"/>
      <c r="H90" s="295"/>
      <c r="I90" s="295"/>
      <c r="J90" s="295"/>
      <c r="K90" s="295"/>
      <c r="L90" s="295"/>
      <c r="M90" s="295"/>
      <c r="N90" s="295"/>
      <c r="O90" s="295"/>
      <c r="P90" s="295"/>
      <c r="Q90" s="295"/>
      <c r="R90" s="295"/>
      <c r="S90" s="295"/>
      <c r="T90" s="295"/>
      <c r="U90" s="295"/>
      <c r="V90" s="295"/>
      <c r="W90" s="482" t="s">
        <v>423</v>
      </c>
      <c r="X90" s="483">
        <v>3.5990000000000002E-3</v>
      </c>
      <c r="Y90" s="483">
        <v>4.235E-3</v>
      </c>
      <c r="Z90" s="483">
        <v>5.0670000000000003E-3</v>
      </c>
      <c r="AA90" s="483">
        <v>9.3279999999999995E-3</v>
      </c>
      <c r="AB90" s="483">
        <v>1.47E-2</v>
      </c>
      <c r="AC90" s="483">
        <v>1.8180000000000002E-2</v>
      </c>
      <c r="AD90" s="483">
        <v>2.299E-2</v>
      </c>
      <c r="AE90" s="483">
        <v>2.9489999999999999E-2</v>
      </c>
      <c r="AF90" s="483">
        <v>3.8460000000000001E-2</v>
      </c>
      <c r="AG90" s="483">
        <v>4.7840000000000001E-2</v>
      </c>
      <c r="AH90" s="484">
        <v>5.7579999999999999E-2</v>
      </c>
    </row>
    <row r="91" spans="1:34" ht="15.75">
      <c r="A91" s="295"/>
      <c r="B91" s="295"/>
      <c r="C91" s="295"/>
      <c r="D91" s="295"/>
      <c r="E91" s="295"/>
      <c r="F91" s="295"/>
      <c r="G91" s="295"/>
      <c r="H91" s="295"/>
      <c r="I91" s="295"/>
      <c r="J91" s="295"/>
      <c r="K91" s="295"/>
      <c r="L91" s="295"/>
      <c r="M91" s="295"/>
      <c r="N91" s="295"/>
      <c r="O91" s="295"/>
      <c r="P91" s="295"/>
      <c r="Q91" s="295"/>
      <c r="R91" s="295"/>
      <c r="S91" s="295"/>
      <c r="T91" s="295"/>
      <c r="U91" s="295"/>
      <c r="V91" s="295"/>
      <c r="W91" s="482" t="s">
        <v>424</v>
      </c>
      <c r="X91" s="483">
        <v>5.6039999999999996E-3</v>
      </c>
      <c r="Y91" s="483">
        <v>7.0850000000000002E-3</v>
      </c>
      <c r="Z91" s="483">
        <v>9.2639999999999997E-3</v>
      </c>
      <c r="AA91" s="483">
        <v>1.8519999999999998E-2</v>
      </c>
      <c r="AB91" s="483">
        <v>3.075E-2</v>
      </c>
      <c r="AC91" s="483">
        <v>3.8530000000000002E-2</v>
      </c>
      <c r="AD91" s="483">
        <v>4.8930000000000001E-2</v>
      </c>
      <c r="AE91" s="483">
        <v>6.3560000000000005E-2</v>
      </c>
      <c r="AF91" s="483">
        <v>8.3799999999999999E-2</v>
      </c>
      <c r="AG91" s="483">
        <v>9.826E-2</v>
      </c>
      <c r="AH91" s="484">
        <v>0.1139</v>
      </c>
    </row>
    <row r="92" spans="1:34" ht="15.75">
      <c r="A92" s="295"/>
      <c r="B92" s="295"/>
      <c r="C92" s="295"/>
      <c r="D92" s="295"/>
      <c r="E92" s="295"/>
      <c r="F92" s="295"/>
      <c r="G92" s="295"/>
      <c r="H92" s="295"/>
      <c r="I92" s="295"/>
      <c r="J92" s="295"/>
      <c r="K92" s="295"/>
      <c r="L92" s="295"/>
      <c r="M92" s="295"/>
      <c r="N92" s="295"/>
      <c r="O92" s="295"/>
      <c r="P92" s="295"/>
      <c r="Q92" s="295"/>
      <c r="R92" s="295"/>
      <c r="S92" s="295"/>
      <c r="T92" s="295"/>
      <c r="U92" s="295"/>
      <c r="V92" s="295"/>
      <c r="W92" s="482" t="s">
        <v>425</v>
      </c>
      <c r="X92" s="483">
        <v>0.66269999999999996</v>
      </c>
      <c r="Y92" s="483">
        <v>0.77649999999999997</v>
      </c>
      <c r="Z92" s="483">
        <v>0.9657</v>
      </c>
      <c r="AA92" s="483">
        <v>1.4379999999999999</v>
      </c>
      <c r="AB92" s="483">
        <v>2.3359999999999999</v>
      </c>
      <c r="AC92" s="483">
        <v>2.96</v>
      </c>
      <c r="AD92" s="483">
        <v>4.149</v>
      </c>
      <c r="AE92" s="483">
        <v>5.6509999999999998</v>
      </c>
      <c r="AF92" s="483">
        <v>7.18</v>
      </c>
      <c r="AG92" s="483">
        <v>8.5410000000000004</v>
      </c>
      <c r="AH92" s="484">
        <v>9.6720000000000006</v>
      </c>
    </row>
    <row r="93" spans="1:34" ht="15.75">
      <c r="A93" s="295"/>
      <c r="B93" s="295"/>
      <c r="C93" s="295"/>
      <c r="D93" s="295"/>
      <c r="E93" s="295"/>
      <c r="F93" s="295"/>
      <c r="G93" s="295"/>
      <c r="H93" s="295"/>
      <c r="I93" s="295"/>
      <c r="J93" s="295"/>
      <c r="K93" s="295"/>
      <c r="L93" s="295"/>
      <c r="M93" s="295"/>
      <c r="N93" s="295"/>
      <c r="O93" s="295"/>
      <c r="P93" s="295"/>
      <c r="Q93" s="295"/>
      <c r="R93" s="295"/>
      <c r="S93" s="295"/>
      <c r="T93" s="295"/>
      <c r="U93" s="295"/>
      <c r="V93" s="295"/>
      <c r="W93" s="482" t="s">
        <v>426</v>
      </c>
      <c r="X93" s="483">
        <v>1.6990000000000002E-2</v>
      </c>
      <c r="Y93" s="483">
        <v>1.9529999999999999E-2</v>
      </c>
      <c r="Z93" s="483">
        <v>2.3699999999999999E-2</v>
      </c>
      <c r="AA93" s="483">
        <v>4.2229999999999997E-2</v>
      </c>
      <c r="AB93" s="483">
        <v>6.8739999999999996E-2</v>
      </c>
      <c r="AC93" s="483">
        <v>8.5919999999999996E-2</v>
      </c>
      <c r="AD93" s="483">
        <v>0.11</v>
      </c>
      <c r="AE93" s="483">
        <v>0.14280000000000001</v>
      </c>
      <c r="AF93" s="483">
        <v>0.18609999999999999</v>
      </c>
      <c r="AG93" s="483">
        <v>0.23139999999999999</v>
      </c>
      <c r="AH93" s="484">
        <v>0.27779999999999999</v>
      </c>
    </row>
    <row r="94" spans="1:34" ht="15.75">
      <c r="A94" s="295"/>
      <c r="B94" s="295"/>
      <c r="C94" s="295"/>
      <c r="D94" s="295"/>
      <c r="E94" s="295"/>
      <c r="F94" s="295"/>
      <c r="G94" s="295"/>
      <c r="H94" s="295"/>
      <c r="I94" s="295"/>
      <c r="J94" s="295"/>
      <c r="K94" s="295"/>
      <c r="L94" s="295"/>
      <c r="M94" s="295"/>
      <c r="N94" s="295"/>
      <c r="O94" s="295"/>
      <c r="P94" s="295"/>
      <c r="Q94" s="295"/>
      <c r="R94" s="295"/>
      <c r="S94" s="295"/>
      <c r="T94" s="295"/>
      <c r="U94" s="295"/>
      <c r="V94" s="295"/>
      <c r="W94" s="482" t="s">
        <v>427</v>
      </c>
      <c r="X94" s="483">
        <v>6.2750000000000002E-3</v>
      </c>
      <c r="Y94" s="483">
        <v>1.0829999999999999E-2</v>
      </c>
      <c r="Z94" s="483">
        <v>1.367E-2</v>
      </c>
      <c r="AA94" s="483">
        <v>2.631E-2</v>
      </c>
      <c r="AB94" s="483">
        <v>4.5469999999999997E-2</v>
      </c>
      <c r="AC94" s="483">
        <v>5.7250000000000002E-2</v>
      </c>
      <c r="AD94" s="483">
        <v>7.2859999999999994E-2</v>
      </c>
      <c r="AE94" s="483">
        <v>9.4219999999999998E-2</v>
      </c>
      <c r="AF94" s="483">
        <v>0.1249</v>
      </c>
      <c r="AG94" s="483">
        <v>0.14460000000000001</v>
      </c>
      <c r="AH94" s="484">
        <v>0.1699</v>
      </c>
    </row>
    <row r="95" spans="1:34" ht="15.75">
      <c r="A95" s="295"/>
      <c r="B95" s="295"/>
      <c r="C95" s="295"/>
      <c r="D95" s="295"/>
      <c r="E95" s="295"/>
      <c r="F95" s="295"/>
      <c r="G95" s="295"/>
      <c r="H95" s="295"/>
      <c r="I95" s="295"/>
      <c r="J95" s="295"/>
      <c r="K95" s="295"/>
      <c r="L95" s="295"/>
      <c r="M95" s="295"/>
      <c r="N95" s="295"/>
      <c r="O95" s="295"/>
      <c r="P95" s="295"/>
      <c r="Q95" s="295"/>
      <c r="R95" s="295"/>
      <c r="S95" s="295"/>
      <c r="T95" s="295"/>
      <c r="U95" s="295"/>
      <c r="V95" s="295"/>
      <c r="W95" s="482" t="s">
        <v>428</v>
      </c>
      <c r="X95" s="483">
        <v>3.5660000000000002E-3</v>
      </c>
      <c r="Y95" s="483">
        <v>4.2310000000000004E-3</v>
      </c>
      <c r="Z95" s="483">
        <v>5.2570000000000004E-3</v>
      </c>
      <c r="AA95" s="483">
        <v>9.7210000000000005E-3</v>
      </c>
      <c r="AB95" s="483">
        <v>1.528E-2</v>
      </c>
      <c r="AC95" s="483">
        <v>1.823E-2</v>
      </c>
      <c r="AD95" s="483">
        <v>2.2249999999999999E-2</v>
      </c>
      <c r="AE95" s="483">
        <v>2.7550000000000002E-2</v>
      </c>
      <c r="AF95" s="483">
        <v>3.4639999999999997E-2</v>
      </c>
      <c r="AG95" s="483">
        <v>3.9890000000000002E-2</v>
      </c>
      <c r="AH95" s="484">
        <v>4.5220000000000003E-2</v>
      </c>
    </row>
    <row r="96" spans="1:34" ht="15.75">
      <c r="A96" s="295"/>
      <c r="B96" s="295"/>
      <c r="C96" s="295"/>
      <c r="D96" s="295"/>
      <c r="E96" s="295"/>
      <c r="F96" s="295"/>
      <c r="G96" s="295"/>
      <c r="H96" s="295"/>
      <c r="I96" s="295"/>
      <c r="J96" s="295"/>
      <c r="K96" s="295"/>
      <c r="L96" s="295"/>
      <c r="M96" s="295"/>
      <c r="N96" s="295"/>
      <c r="O96" s="295"/>
      <c r="P96" s="295"/>
      <c r="Q96" s="295"/>
      <c r="R96" s="295"/>
      <c r="S96" s="295"/>
      <c r="T96" s="295"/>
      <c r="U96" s="295"/>
      <c r="V96" s="295"/>
      <c r="W96" s="482" t="s">
        <v>429</v>
      </c>
      <c r="X96" s="483">
        <v>1.272E-2</v>
      </c>
      <c r="Y96" s="483">
        <v>1.7989999999999999E-2</v>
      </c>
      <c r="Z96" s="483">
        <v>2.4580000000000001E-2</v>
      </c>
      <c r="AA96" s="483">
        <v>4.3270000000000003E-2</v>
      </c>
      <c r="AB96" s="483">
        <v>6.9389999999999993E-2</v>
      </c>
      <c r="AC96" s="483">
        <v>7.9250000000000001E-2</v>
      </c>
      <c r="AD96" s="483">
        <v>9.6329999999999999E-2</v>
      </c>
      <c r="AE96" s="483">
        <v>0.1157</v>
      </c>
      <c r="AF96" s="483">
        <v>0.1361</v>
      </c>
      <c r="AG96" s="483">
        <v>0.15509999999999999</v>
      </c>
      <c r="AH96" s="484">
        <v>0.1726</v>
      </c>
    </row>
    <row r="97" spans="1:34" ht="15.75">
      <c r="A97" s="295"/>
      <c r="B97" s="295"/>
      <c r="C97" s="295"/>
      <c r="D97" s="295"/>
      <c r="E97" s="295"/>
      <c r="F97" s="295"/>
      <c r="G97" s="295"/>
      <c r="H97" s="295"/>
      <c r="I97" s="295"/>
      <c r="J97" s="295"/>
      <c r="K97" s="295"/>
      <c r="L97" s="295"/>
      <c r="M97" s="295"/>
      <c r="N97" s="295"/>
      <c r="O97" s="295"/>
      <c r="P97" s="295"/>
      <c r="Q97" s="295"/>
      <c r="R97" s="295"/>
      <c r="S97" s="295"/>
      <c r="T97" s="295"/>
      <c r="U97" s="295"/>
      <c r="V97" s="295"/>
      <c r="W97" s="482" t="s">
        <v>430</v>
      </c>
      <c r="X97" s="483">
        <v>3.5860000000000002E-3</v>
      </c>
      <c r="Y97" s="483">
        <v>4.6410000000000002E-3</v>
      </c>
      <c r="Z97" s="483">
        <v>5.5789999999999998E-3</v>
      </c>
      <c r="AA97" s="483">
        <v>1.0840000000000001E-2</v>
      </c>
      <c r="AB97" s="483">
        <v>1.789E-2</v>
      </c>
      <c r="AC97" s="483">
        <v>2.2360000000000001E-2</v>
      </c>
      <c r="AD97" s="483">
        <v>2.998E-2</v>
      </c>
      <c r="AE97" s="483">
        <v>4.2079999999999999E-2</v>
      </c>
      <c r="AF97" s="483">
        <v>5.7430000000000002E-2</v>
      </c>
      <c r="AG97" s="483">
        <v>6.8720000000000003E-2</v>
      </c>
      <c r="AH97" s="484">
        <v>8.1430000000000002E-2</v>
      </c>
    </row>
    <row r="98" spans="1:34" ht="15.75">
      <c r="A98" s="295"/>
      <c r="B98" s="295"/>
      <c r="C98" s="295"/>
      <c r="D98" s="295"/>
      <c r="E98" s="295"/>
      <c r="F98" s="295"/>
      <c r="G98" s="295"/>
      <c r="H98" s="295"/>
      <c r="I98" s="295"/>
      <c r="J98" s="295"/>
      <c r="K98" s="295"/>
      <c r="L98" s="295"/>
      <c r="M98" s="295"/>
      <c r="N98" s="295"/>
      <c r="O98" s="295"/>
      <c r="P98" s="295"/>
      <c r="Q98" s="295"/>
      <c r="R98" s="295"/>
      <c r="S98" s="295"/>
      <c r="T98" s="295"/>
      <c r="U98" s="295"/>
      <c r="V98" s="295"/>
      <c r="W98" s="482" t="s">
        <v>431</v>
      </c>
      <c r="X98" s="483">
        <v>4.6429999999999999E-2</v>
      </c>
      <c r="Y98" s="483">
        <v>5.7009999999999998E-2</v>
      </c>
      <c r="Z98" s="483">
        <v>7.2859999999999994E-2</v>
      </c>
      <c r="AA98" s="483">
        <v>0.16869999999999999</v>
      </c>
      <c r="AB98" s="483">
        <v>0.26479999999999998</v>
      </c>
      <c r="AC98" s="483">
        <v>0.32619999999999999</v>
      </c>
      <c r="AD98" s="483">
        <v>0.4178</v>
      </c>
      <c r="AE98" s="483">
        <v>0.55159999999999998</v>
      </c>
      <c r="AF98" s="483">
        <v>0.73909999999999998</v>
      </c>
      <c r="AG98" s="483">
        <v>0.86860000000000004</v>
      </c>
      <c r="AH98" s="484">
        <v>1.0089999999999999</v>
      </c>
    </row>
    <row r="99" spans="1:34" ht="15.75">
      <c r="A99" s="295"/>
      <c r="B99" s="295"/>
      <c r="C99" s="295"/>
      <c r="D99" s="295"/>
      <c r="E99" s="295"/>
      <c r="F99" s="295"/>
      <c r="G99" s="295"/>
      <c r="H99" s="295"/>
      <c r="I99" s="295"/>
      <c r="J99" s="295"/>
      <c r="K99" s="295"/>
      <c r="L99" s="295"/>
      <c r="M99" s="295"/>
      <c r="N99" s="295"/>
      <c r="O99" s="295"/>
      <c r="P99" s="295"/>
      <c r="Q99" s="295"/>
      <c r="R99" s="295"/>
      <c r="S99" s="295"/>
      <c r="T99" s="295"/>
      <c r="U99" s="295"/>
      <c r="V99" s="295"/>
      <c r="W99" s="482" t="s">
        <v>432</v>
      </c>
      <c r="X99" s="483">
        <v>4.4949999999999999E-3</v>
      </c>
      <c r="Y99" s="483">
        <v>5.7730000000000004E-3</v>
      </c>
      <c r="Z99" s="483">
        <v>7.1770000000000002E-3</v>
      </c>
      <c r="AA99" s="483">
        <v>1.3610000000000001E-2</v>
      </c>
      <c r="AB99" s="483">
        <v>2.3089999999999999E-2</v>
      </c>
      <c r="AC99" s="483">
        <v>2.8379999999999999E-2</v>
      </c>
      <c r="AD99" s="483">
        <v>3.594E-2</v>
      </c>
      <c r="AE99" s="483">
        <v>4.6739999999999997E-2</v>
      </c>
      <c r="AF99" s="483">
        <v>6.2080000000000003E-2</v>
      </c>
      <c r="AG99" s="483">
        <v>7.3249999999999996E-2</v>
      </c>
      <c r="AH99" s="484">
        <v>8.5769999999999999E-2</v>
      </c>
    </row>
    <row r="100" spans="1:34" ht="15.75">
      <c r="A100" s="295"/>
      <c r="B100" s="295"/>
      <c r="C100" s="295"/>
      <c r="D100" s="295"/>
      <c r="E100" s="295"/>
      <c r="F100" s="295"/>
      <c r="G100" s="295"/>
      <c r="H100" s="295"/>
      <c r="I100" s="295"/>
      <c r="J100" s="295"/>
      <c r="K100" s="295"/>
      <c r="L100" s="295"/>
      <c r="M100" s="295"/>
      <c r="N100" s="295"/>
      <c r="O100" s="295"/>
      <c r="P100" s="295"/>
      <c r="Q100" s="295"/>
      <c r="R100" s="295"/>
      <c r="S100" s="295"/>
      <c r="T100" s="295"/>
      <c r="U100" s="295"/>
      <c r="V100" s="295"/>
      <c r="W100" s="482" t="s">
        <v>433</v>
      </c>
      <c r="X100" s="483">
        <v>2.5749999999999999E-2</v>
      </c>
      <c r="Y100" s="483">
        <v>3.1489999999999997E-2</v>
      </c>
      <c r="Z100" s="483">
        <v>3.9559999999999998E-2</v>
      </c>
      <c r="AA100" s="483">
        <v>8.4839999999999999E-2</v>
      </c>
      <c r="AB100" s="483">
        <v>0.13320000000000001</v>
      </c>
      <c r="AC100" s="483">
        <v>0.161</v>
      </c>
      <c r="AD100" s="483">
        <v>0.2016</v>
      </c>
      <c r="AE100" s="483">
        <v>0.25900000000000001</v>
      </c>
      <c r="AF100" s="483">
        <v>0.33889999999999998</v>
      </c>
      <c r="AG100" s="483">
        <v>0.39779999999999999</v>
      </c>
      <c r="AH100" s="484">
        <v>0.46050000000000002</v>
      </c>
    </row>
    <row r="101" spans="1:34" ht="15.75">
      <c r="A101" s="295"/>
      <c r="B101" s="295"/>
      <c r="C101" s="295"/>
      <c r="D101" s="295"/>
      <c r="E101" s="295"/>
      <c r="F101" s="295"/>
      <c r="G101" s="295"/>
      <c r="H101" s="295"/>
      <c r="I101" s="295"/>
      <c r="J101" s="295"/>
      <c r="K101" s="295"/>
      <c r="L101" s="295"/>
      <c r="M101" s="295"/>
      <c r="N101" s="295"/>
      <c r="O101" s="295"/>
      <c r="P101" s="295"/>
      <c r="Q101" s="295"/>
      <c r="R101" s="295"/>
      <c r="S101" s="295"/>
      <c r="T101" s="295"/>
      <c r="U101" s="295"/>
      <c r="V101" s="295"/>
      <c r="W101" s="482" t="s">
        <v>434</v>
      </c>
      <c r="X101" s="483">
        <v>1.0940000000000001</v>
      </c>
      <c r="Y101" s="483">
        <v>1.3480000000000001</v>
      </c>
      <c r="Z101" s="483">
        <v>1.5509999999999999</v>
      </c>
      <c r="AA101" s="483">
        <v>2.5049999999999999</v>
      </c>
      <c r="AB101" s="483">
        <v>3.6120000000000001</v>
      </c>
      <c r="AC101" s="483">
        <v>3.8029999999999999</v>
      </c>
      <c r="AD101" s="483">
        <v>4.4039999999999999</v>
      </c>
      <c r="AE101" s="483">
        <v>5.0940000000000003</v>
      </c>
      <c r="AF101" s="483">
        <v>5.8330000000000002</v>
      </c>
      <c r="AG101" s="483">
        <v>6.5359999999999996</v>
      </c>
      <c r="AH101" s="484">
        <v>7.1669999999999998</v>
      </c>
    </row>
    <row r="102" spans="1:34" ht="15.75">
      <c r="A102" s="295"/>
      <c r="B102" s="295"/>
      <c r="C102" s="295"/>
      <c r="D102" s="295"/>
      <c r="E102" s="295"/>
      <c r="F102" s="295"/>
      <c r="G102" s="295"/>
      <c r="H102" s="295"/>
      <c r="I102" s="295"/>
      <c r="J102" s="295"/>
      <c r="K102" s="295"/>
      <c r="L102" s="295"/>
      <c r="M102" s="295"/>
      <c r="N102" s="295"/>
      <c r="O102" s="295"/>
      <c r="P102" s="295"/>
      <c r="Q102" s="295"/>
      <c r="R102" s="295"/>
      <c r="S102" s="295"/>
      <c r="T102" s="295"/>
      <c r="U102" s="295"/>
      <c r="V102" s="295"/>
      <c r="W102" s="482" t="s">
        <v>435</v>
      </c>
      <c r="X102" s="483">
        <v>0.27639999999999998</v>
      </c>
      <c r="Y102" s="483">
        <v>0.30649999999999999</v>
      </c>
      <c r="Z102" s="483">
        <v>0.34239999999999998</v>
      </c>
      <c r="AA102" s="483">
        <v>0.51029999999999998</v>
      </c>
      <c r="AB102" s="483">
        <v>0.74839999999999995</v>
      </c>
      <c r="AC102" s="483">
        <v>0.80420000000000003</v>
      </c>
      <c r="AD102" s="483">
        <v>0.92049999999999998</v>
      </c>
      <c r="AE102" s="483">
        <v>1.0409999999999999</v>
      </c>
      <c r="AF102" s="483">
        <v>1.1579999999999999</v>
      </c>
      <c r="AG102" s="483">
        <v>1.27</v>
      </c>
      <c r="AH102" s="484">
        <v>1.3680000000000001</v>
      </c>
    </row>
    <row r="103" spans="1:34" ht="15.75">
      <c r="A103" s="295"/>
      <c r="B103" s="295"/>
      <c r="C103" s="295"/>
      <c r="D103" s="295"/>
      <c r="E103" s="295"/>
      <c r="F103" s="295"/>
      <c r="G103" s="295"/>
      <c r="H103" s="295"/>
      <c r="I103" s="295"/>
      <c r="J103" s="295"/>
      <c r="K103" s="295"/>
      <c r="L103" s="295"/>
      <c r="M103" s="295"/>
      <c r="N103" s="295"/>
      <c r="O103" s="295"/>
      <c r="P103" s="295"/>
      <c r="Q103" s="295"/>
      <c r="R103" s="295"/>
      <c r="S103" s="295"/>
      <c r="T103" s="295"/>
      <c r="U103" s="295"/>
      <c r="V103" s="295"/>
      <c r="W103" s="482" t="s">
        <v>436</v>
      </c>
      <c r="X103" s="483">
        <v>1.9230000000000001E-2</v>
      </c>
      <c r="Y103" s="483">
        <v>2.196E-2</v>
      </c>
      <c r="Z103" s="483">
        <v>2.4920000000000001E-2</v>
      </c>
      <c r="AA103" s="483">
        <v>4.9239999999999999E-2</v>
      </c>
      <c r="AB103" s="483">
        <v>7.3499999999999996E-2</v>
      </c>
      <c r="AC103" s="483">
        <v>8.6739999999999998E-2</v>
      </c>
      <c r="AD103" s="483">
        <v>0.1061</v>
      </c>
      <c r="AE103" s="483">
        <v>0.13389999999999999</v>
      </c>
      <c r="AF103" s="483">
        <v>0.17180000000000001</v>
      </c>
      <c r="AG103" s="483">
        <v>0.19919999999999999</v>
      </c>
      <c r="AH103" s="484">
        <v>0.22900000000000001</v>
      </c>
    </row>
    <row r="104" spans="1:34" ht="15.75">
      <c r="A104" s="295"/>
      <c r="B104" s="295"/>
      <c r="C104" s="295"/>
      <c r="D104" s="295"/>
      <c r="E104" s="295"/>
      <c r="F104" s="295"/>
      <c r="G104" s="295"/>
      <c r="H104" s="295"/>
      <c r="I104" s="295"/>
      <c r="J104" s="295"/>
      <c r="K104" s="295"/>
      <c r="L104" s="295"/>
      <c r="M104" s="295"/>
      <c r="N104" s="295"/>
      <c r="O104" s="295"/>
      <c r="P104" s="295"/>
      <c r="Q104" s="295"/>
      <c r="R104" s="295"/>
      <c r="S104" s="295"/>
      <c r="T104" s="295"/>
      <c r="U104" s="295"/>
      <c r="V104" s="295"/>
      <c r="W104" s="482" t="s">
        <v>437</v>
      </c>
      <c r="X104" s="483">
        <v>6.8349999999999997E-4</v>
      </c>
      <c r="Y104" s="483">
        <v>8.4210000000000003E-4</v>
      </c>
      <c r="Z104" s="483">
        <v>1.016E-3</v>
      </c>
      <c r="AA104" s="483">
        <v>2.0219999999999999E-3</v>
      </c>
      <c r="AB104" s="483">
        <v>3.3240000000000001E-3</v>
      </c>
      <c r="AC104" s="483">
        <v>4.4419999999999998E-3</v>
      </c>
      <c r="AD104" s="483">
        <v>5.862E-3</v>
      </c>
      <c r="AE104" s="483">
        <v>7.7489999999999998E-3</v>
      </c>
      <c r="AF104" s="483">
        <v>1.051E-2</v>
      </c>
      <c r="AG104" s="483">
        <v>1.2930000000000001E-2</v>
      </c>
      <c r="AH104" s="484">
        <v>1.542E-2</v>
      </c>
    </row>
    <row r="105" spans="1:34" ht="15.75">
      <c r="A105" s="295"/>
      <c r="B105" s="295"/>
      <c r="C105" s="295"/>
      <c r="D105" s="295"/>
      <c r="E105" s="295"/>
      <c r="F105" s="295"/>
      <c r="G105" s="295"/>
      <c r="H105" s="295"/>
      <c r="I105" s="295"/>
      <c r="J105" s="295"/>
      <c r="K105" s="295"/>
      <c r="L105" s="295"/>
      <c r="M105" s="295"/>
      <c r="N105" s="295"/>
      <c r="O105" s="295"/>
      <c r="P105" s="295"/>
      <c r="Q105" s="295"/>
      <c r="R105" s="295"/>
      <c r="S105" s="295"/>
      <c r="T105" s="295"/>
      <c r="U105" s="295"/>
      <c r="V105" s="295"/>
      <c r="W105" s="482" t="s">
        <v>438</v>
      </c>
      <c r="X105" s="483">
        <v>4.3450000000000003E-2</v>
      </c>
      <c r="Y105" s="483">
        <v>5.8360000000000002E-2</v>
      </c>
      <c r="Z105" s="483">
        <v>7.9490000000000005E-2</v>
      </c>
      <c r="AA105" s="483">
        <v>0.13830000000000001</v>
      </c>
      <c r="AB105" s="483">
        <v>0.22159999999999999</v>
      </c>
      <c r="AC105" s="483">
        <v>0.30930000000000002</v>
      </c>
      <c r="AD105" s="483">
        <v>0.4451</v>
      </c>
      <c r="AE105" s="483">
        <v>0.60829999999999995</v>
      </c>
      <c r="AF105" s="483">
        <v>0.78269999999999995</v>
      </c>
      <c r="AG105" s="483">
        <v>0.94699999999999995</v>
      </c>
      <c r="AH105" s="484">
        <v>1.089</v>
      </c>
    </row>
    <row r="106" spans="1:34" ht="15.75">
      <c r="A106" s="295"/>
      <c r="B106" s="295"/>
      <c r="C106" s="295"/>
      <c r="D106" s="295"/>
      <c r="E106" s="295"/>
      <c r="F106" s="295"/>
      <c r="G106" s="295"/>
      <c r="H106" s="295"/>
      <c r="I106" s="295"/>
      <c r="J106" s="295"/>
      <c r="K106" s="295"/>
      <c r="L106" s="295"/>
      <c r="M106" s="295"/>
      <c r="N106" s="295"/>
      <c r="O106" s="295"/>
      <c r="P106" s="295"/>
      <c r="Q106" s="295"/>
      <c r="R106" s="295"/>
      <c r="S106" s="295"/>
      <c r="T106" s="295"/>
      <c r="U106" s="295"/>
      <c r="V106" s="295"/>
      <c r="W106" s="482" t="s">
        <v>439</v>
      </c>
      <c r="X106" s="483">
        <v>1.464E-2</v>
      </c>
      <c r="Y106" s="483">
        <v>1.5689999999999999E-2</v>
      </c>
      <c r="Z106" s="483">
        <v>1.7340000000000001E-2</v>
      </c>
      <c r="AA106" s="483">
        <v>3.0130000000000001E-2</v>
      </c>
      <c r="AB106" s="483">
        <v>4.3249999999999997E-2</v>
      </c>
      <c r="AC106" s="483">
        <v>4.8529999999999997E-2</v>
      </c>
      <c r="AD106" s="483">
        <v>5.5660000000000001E-2</v>
      </c>
      <c r="AE106" s="483">
        <v>6.5329999999999999E-2</v>
      </c>
      <c r="AF106" s="483">
        <v>7.732E-2</v>
      </c>
      <c r="AG106" s="483">
        <v>8.6870000000000003E-2</v>
      </c>
      <c r="AH106" s="484">
        <v>9.6280000000000004E-2</v>
      </c>
    </row>
    <row r="107" spans="1:34" ht="15.75">
      <c r="A107" s="295"/>
      <c r="B107" s="295"/>
      <c r="C107" s="295"/>
      <c r="D107" s="295"/>
      <c r="E107" s="295"/>
      <c r="F107" s="295"/>
      <c r="G107" s="295"/>
      <c r="H107" s="295"/>
      <c r="I107" s="295"/>
      <c r="J107" s="295"/>
      <c r="K107" s="295"/>
      <c r="L107" s="295"/>
      <c r="M107" s="295"/>
      <c r="N107" s="295"/>
      <c r="O107" s="295"/>
      <c r="P107" s="295"/>
      <c r="Q107" s="295"/>
      <c r="R107" s="295"/>
      <c r="S107" s="295"/>
      <c r="T107" s="295"/>
      <c r="U107" s="295"/>
      <c r="V107" s="295"/>
      <c r="W107" s="482" t="s">
        <v>440</v>
      </c>
      <c r="X107" s="483">
        <v>0.3669</v>
      </c>
      <c r="Y107" s="483">
        <v>0.41610000000000003</v>
      </c>
      <c r="Z107" s="483">
        <v>0.44569999999999999</v>
      </c>
      <c r="AA107" s="483">
        <v>0.6502</v>
      </c>
      <c r="AB107" s="483">
        <v>1</v>
      </c>
      <c r="AC107" s="483">
        <v>1.105</v>
      </c>
      <c r="AD107" s="483">
        <v>1.302</v>
      </c>
      <c r="AE107" s="483">
        <v>1.5129999999999999</v>
      </c>
      <c r="AF107" s="483">
        <v>1.718</v>
      </c>
      <c r="AG107" s="483">
        <v>1.9</v>
      </c>
      <c r="AH107" s="484">
        <v>2.0750000000000002</v>
      </c>
    </row>
    <row r="108" spans="1:34" ht="15.75">
      <c r="A108" s="295"/>
      <c r="B108" s="295"/>
      <c r="C108" s="295"/>
      <c r="D108" s="295"/>
      <c r="E108" s="295"/>
      <c r="F108" s="295"/>
      <c r="G108" s="295"/>
      <c r="H108" s="295"/>
      <c r="I108" s="295"/>
      <c r="J108" s="295"/>
      <c r="K108" s="295"/>
      <c r="L108" s="295"/>
      <c r="M108" s="295"/>
      <c r="N108" s="295"/>
      <c r="O108" s="295"/>
      <c r="P108" s="295"/>
      <c r="Q108" s="295"/>
      <c r="R108" s="295"/>
      <c r="S108" s="295"/>
      <c r="T108" s="295"/>
      <c r="U108" s="295"/>
      <c r="V108" s="295"/>
      <c r="W108" s="482" t="s">
        <v>441</v>
      </c>
      <c r="X108" s="483">
        <v>8.3570000000000005E-2</v>
      </c>
      <c r="Y108" s="483">
        <v>9.6030000000000004E-2</v>
      </c>
      <c r="Z108" s="483">
        <v>0.1016</v>
      </c>
      <c r="AA108" s="483">
        <v>0.19869999999999999</v>
      </c>
      <c r="AB108" s="483">
        <v>0.31530000000000002</v>
      </c>
      <c r="AC108" s="483">
        <v>0.3715</v>
      </c>
      <c r="AD108" s="483">
        <v>0.44729999999999998</v>
      </c>
      <c r="AE108" s="483">
        <v>0.54549999999999998</v>
      </c>
      <c r="AF108" s="483">
        <v>0.67300000000000004</v>
      </c>
      <c r="AG108" s="483">
        <v>0.7772</v>
      </c>
      <c r="AH108" s="484">
        <v>0.88639999999999997</v>
      </c>
    </row>
    <row r="109" spans="1:34" ht="15.75">
      <c r="A109" s="295"/>
      <c r="B109" s="295"/>
      <c r="C109" s="295"/>
      <c r="D109" s="295"/>
      <c r="E109" s="295"/>
      <c r="F109" s="295"/>
      <c r="G109" s="295"/>
      <c r="H109" s="295"/>
      <c r="I109" s="295"/>
      <c r="J109" s="295"/>
      <c r="K109" s="295"/>
      <c r="L109" s="295"/>
      <c r="M109" s="295"/>
      <c r="N109" s="295"/>
      <c r="O109" s="295"/>
      <c r="P109" s="295"/>
      <c r="Q109" s="295"/>
      <c r="R109" s="295"/>
      <c r="S109" s="295"/>
      <c r="T109" s="295"/>
      <c r="U109" s="295"/>
      <c r="V109" s="295"/>
      <c r="W109" s="482" t="s">
        <v>442</v>
      </c>
      <c r="X109" s="483">
        <v>2.1350000000000001E-2</v>
      </c>
      <c r="Y109" s="483">
        <v>2.9239999999999999E-2</v>
      </c>
      <c r="Z109" s="483">
        <v>4.8849999999999998E-2</v>
      </c>
      <c r="AA109" s="483">
        <v>0.1021</v>
      </c>
      <c r="AB109" s="483">
        <v>0.1641</v>
      </c>
      <c r="AC109" s="483">
        <v>0.1996</v>
      </c>
      <c r="AD109" s="483">
        <v>0.248</v>
      </c>
      <c r="AE109" s="483">
        <v>0.31530000000000002</v>
      </c>
      <c r="AF109" s="483">
        <v>0.3861</v>
      </c>
      <c r="AG109" s="483">
        <v>0.439</v>
      </c>
      <c r="AH109" s="484">
        <v>0.47289999999999999</v>
      </c>
    </row>
    <row r="110" spans="1:34" ht="15.75">
      <c r="A110" s="295"/>
      <c r="B110" s="295"/>
      <c r="C110" s="295"/>
      <c r="D110" s="295"/>
      <c r="E110" s="295"/>
      <c r="F110" s="295"/>
      <c r="G110" s="295"/>
      <c r="H110" s="295"/>
      <c r="I110" s="295"/>
      <c r="J110" s="295"/>
      <c r="K110" s="295"/>
      <c r="L110" s="295"/>
      <c r="M110" s="295"/>
      <c r="N110" s="295"/>
      <c r="O110" s="295"/>
      <c r="P110" s="295"/>
      <c r="Q110" s="295"/>
      <c r="R110" s="295"/>
      <c r="S110" s="295"/>
      <c r="T110" s="295"/>
      <c r="U110" s="295"/>
      <c r="V110" s="295"/>
      <c r="W110" s="482" t="s">
        <v>443</v>
      </c>
      <c r="X110" s="483">
        <v>3.4340000000000002E-2</v>
      </c>
      <c r="Y110" s="483">
        <v>4.5670000000000002E-2</v>
      </c>
      <c r="Z110" s="483">
        <v>6.0560000000000003E-2</v>
      </c>
      <c r="AA110" s="483">
        <v>0.13469999999999999</v>
      </c>
      <c r="AB110" s="483">
        <v>0.22339999999999999</v>
      </c>
      <c r="AC110" s="483">
        <v>0.27700000000000002</v>
      </c>
      <c r="AD110" s="483">
        <v>0.35470000000000002</v>
      </c>
      <c r="AE110" s="483">
        <v>0.4647</v>
      </c>
      <c r="AF110" s="483">
        <v>0.61990000000000001</v>
      </c>
      <c r="AG110" s="483">
        <v>0.73780000000000001</v>
      </c>
      <c r="AH110" s="484">
        <v>0.86770000000000003</v>
      </c>
    </row>
    <row r="111" spans="1:34" ht="15.75">
      <c r="A111" s="295"/>
      <c r="B111" s="295"/>
      <c r="C111" s="295"/>
      <c r="D111" s="295"/>
      <c r="E111" s="295"/>
      <c r="F111" s="295"/>
      <c r="G111" s="295"/>
      <c r="H111" s="295"/>
      <c r="I111" s="295"/>
      <c r="J111" s="295"/>
      <c r="K111" s="295"/>
      <c r="L111" s="295"/>
      <c r="M111" s="295"/>
      <c r="N111" s="295"/>
      <c r="O111" s="295"/>
      <c r="P111" s="295"/>
      <c r="Q111" s="295"/>
      <c r="R111" s="295"/>
      <c r="S111" s="295"/>
      <c r="T111" s="295"/>
      <c r="U111" s="295"/>
      <c r="V111" s="295"/>
      <c r="W111" s="482" t="s">
        <v>444</v>
      </c>
      <c r="X111" s="483">
        <v>3.094E-3</v>
      </c>
      <c r="Y111" s="483">
        <v>3.947E-3</v>
      </c>
      <c r="Z111" s="483">
        <v>5.1310000000000001E-3</v>
      </c>
      <c r="AA111" s="483">
        <v>1.0070000000000001E-2</v>
      </c>
      <c r="AB111" s="483">
        <v>1.7180000000000001E-2</v>
      </c>
      <c r="AC111" s="483">
        <v>2.239E-2</v>
      </c>
      <c r="AD111" s="483">
        <v>2.9260000000000001E-2</v>
      </c>
      <c r="AE111" s="483">
        <v>3.8980000000000001E-2</v>
      </c>
      <c r="AF111" s="483">
        <v>5.28E-2</v>
      </c>
      <c r="AG111" s="483">
        <v>6.3070000000000001E-2</v>
      </c>
      <c r="AH111" s="484">
        <v>7.442E-2</v>
      </c>
    </row>
    <row r="112" spans="1:34" ht="15.75">
      <c r="A112" s="295"/>
      <c r="B112" s="295"/>
      <c r="C112" s="295"/>
      <c r="D112" s="295"/>
      <c r="E112" s="295"/>
      <c r="F112" s="295"/>
      <c r="G112" s="295"/>
      <c r="H112" s="295"/>
      <c r="I112" s="295"/>
      <c r="J112" s="295"/>
      <c r="K112" s="295"/>
      <c r="L112" s="295"/>
      <c r="M112" s="295"/>
      <c r="N112" s="295"/>
      <c r="O112" s="295"/>
      <c r="P112" s="295"/>
      <c r="Q112" s="295"/>
      <c r="R112" s="295"/>
      <c r="S112" s="295"/>
      <c r="T112" s="295"/>
      <c r="U112" s="295"/>
      <c r="V112" s="295"/>
      <c r="W112" s="482" t="s">
        <v>445</v>
      </c>
      <c r="X112" s="483">
        <v>2.7490000000000001E-2</v>
      </c>
      <c r="Y112" s="483">
        <v>3.5110000000000002E-2</v>
      </c>
      <c r="Z112" s="483">
        <v>4.5359999999999998E-2</v>
      </c>
      <c r="AA112" s="483">
        <v>9.9809999999999996E-2</v>
      </c>
      <c r="AB112" s="483">
        <v>0.16669999999999999</v>
      </c>
      <c r="AC112" s="483">
        <v>0.2039</v>
      </c>
      <c r="AD112" s="483">
        <v>0.25580000000000003</v>
      </c>
      <c r="AE112" s="483">
        <v>0.32829999999999998</v>
      </c>
      <c r="AF112" s="483">
        <v>0.42970000000000003</v>
      </c>
      <c r="AG112" s="483">
        <v>0.504</v>
      </c>
      <c r="AH112" s="484">
        <v>0.58320000000000005</v>
      </c>
    </row>
    <row r="113" spans="1:34" ht="15.75">
      <c r="A113" s="295"/>
      <c r="B113" s="295"/>
      <c r="C113" s="295"/>
      <c r="D113" s="295"/>
      <c r="E113" s="295"/>
      <c r="F113" s="295"/>
      <c r="G113" s="295"/>
      <c r="H113" s="295"/>
      <c r="I113" s="295"/>
      <c r="J113" s="295"/>
      <c r="K113" s="295"/>
      <c r="L113" s="295"/>
      <c r="M113" s="295"/>
      <c r="N113" s="295"/>
      <c r="O113" s="295"/>
      <c r="P113" s="295"/>
      <c r="Q113" s="295"/>
      <c r="R113" s="295"/>
      <c r="S113" s="295"/>
      <c r="T113" s="295"/>
      <c r="U113" s="295"/>
      <c r="V113" s="295"/>
      <c r="W113" s="482" t="s">
        <v>446</v>
      </c>
      <c r="X113" s="483">
        <v>0.15310000000000001</v>
      </c>
      <c r="Y113" s="483">
        <v>0.18459999999999999</v>
      </c>
      <c r="Z113" s="483">
        <v>0.23369999999999999</v>
      </c>
      <c r="AA113" s="483">
        <v>0.42259999999999998</v>
      </c>
      <c r="AB113" s="483">
        <v>0.74680000000000002</v>
      </c>
      <c r="AC113" s="483">
        <v>1.002</v>
      </c>
      <c r="AD113" s="483">
        <v>1.36</v>
      </c>
      <c r="AE113" s="483">
        <v>1.8049999999999999</v>
      </c>
      <c r="AF113" s="483">
        <v>2.2349999999999999</v>
      </c>
      <c r="AG113" s="483">
        <v>2.5880000000000001</v>
      </c>
      <c r="AH113" s="484">
        <v>2.8690000000000002</v>
      </c>
    </row>
    <row r="114" spans="1:34" ht="15.75">
      <c r="A114" s="295"/>
      <c r="B114" s="295"/>
      <c r="C114" s="295"/>
      <c r="D114" s="295"/>
      <c r="E114" s="295"/>
      <c r="F114" s="295"/>
      <c r="G114" s="295"/>
      <c r="H114" s="295"/>
      <c r="I114" s="295"/>
      <c r="J114" s="295"/>
      <c r="K114" s="295"/>
      <c r="L114" s="295"/>
      <c r="M114" s="295"/>
      <c r="N114" s="295"/>
      <c r="O114" s="295"/>
      <c r="P114" s="295"/>
      <c r="Q114" s="295"/>
      <c r="R114" s="295"/>
      <c r="S114" s="295"/>
      <c r="T114" s="295"/>
      <c r="U114" s="295"/>
      <c r="V114" s="295"/>
      <c r="W114" s="482" t="s">
        <v>275</v>
      </c>
      <c r="X114" s="483">
        <v>0.40570000000000001</v>
      </c>
      <c r="Y114" s="483">
        <v>0.46899999999999997</v>
      </c>
      <c r="Z114" s="483">
        <v>0.58440000000000003</v>
      </c>
      <c r="AA114" s="483">
        <v>0.97140000000000004</v>
      </c>
      <c r="AB114" s="483">
        <v>1.4079999999999999</v>
      </c>
      <c r="AC114" s="483">
        <v>1.59</v>
      </c>
      <c r="AD114" s="483">
        <v>1.95</v>
      </c>
      <c r="AE114" s="483">
        <v>2.3650000000000002</v>
      </c>
      <c r="AF114" s="483">
        <v>2.7989999999999999</v>
      </c>
      <c r="AG114" s="483">
        <v>3.2109999999999999</v>
      </c>
      <c r="AH114" s="484">
        <v>3.5720000000000001</v>
      </c>
    </row>
    <row r="115" spans="1:34" ht="15.75">
      <c r="A115" s="295"/>
      <c r="B115" s="295"/>
      <c r="C115" s="295"/>
      <c r="D115" s="295"/>
      <c r="E115" s="295"/>
      <c r="F115" s="295"/>
      <c r="G115" s="295"/>
      <c r="H115" s="295"/>
      <c r="I115" s="295"/>
      <c r="J115" s="295"/>
      <c r="K115" s="295"/>
      <c r="L115" s="295"/>
      <c r="M115" s="295"/>
      <c r="N115" s="295"/>
      <c r="O115" s="295"/>
      <c r="P115" s="295"/>
      <c r="Q115" s="295"/>
      <c r="R115" s="295"/>
      <c r="S115" s="295"/>
      <c r="T115" s="295"/>
      <c r="U115" s="295"/>
      <c r="V115" s="295"/>
      <c r="W115" s="482" t="s">
        <v>447</v>
      </c>
      <c r="X115" s="483">
        <v>0.12959999999999999</v>
      </c>
      <c r="Y115" s="483">
        <v>0.16120000000000001</v>
      </c>
      <c r="Z115" s="483">
        <v>0.18920000000000001</v>
      </c>
      <c r="AA115" s="483">
        <v>0.30270000000000002</v>
      </c>
      <c r="AB115" s="483">
        <v>0.44019999999999998</v>
      </c>
      <c r="AC115" s="483">
        <v>0.46629999999999999</v>
      </c>
      <c r="AD115" s="483">
        <v>0.52159999999999995</v>
      </c>
      <c r="AE115" s="483">
        <v>0.61860000000000004</v>
      </c>
      <c r="AF115" s="483">
        <v>0.7278</v>
      </c>
      <c r="AG115" s="483">
        <v>0.82550000000000001</v>
      </c>
      <c r="AH115" s="484">
        <v>0.92030000000000001</v>
      </c>
    </row>
    <row r="116" spans="1:34" ht="15.75">
      <c r="A116" s="295"/>
      <c r="B116" s="295"/>
      <c r="C116" s="295"/>
      <c r="D116" s="295"/>
      <c r="E116" s="295"/>
      <c r="F116" s="295"/>
      <c r="G116" s="295"/>
      <c r="H116" s="295"/>
      <c r="I116" s="295"/>
      <c r="J116" s="295"/>
      <c r="K116" s="295"/>
      <c r="L116" s="295"/>
      <c r="M116" s="295"/>
      <c r="N116" s="295"/>
      <c r="O116" s="295"/>
      <c r="P116" s="295"/>
      <c r="Q116" s="295"/>
      <c r="R116" s="295"/>
      <c r="S116" s="295"/>
      <c r="T116" s="295"/>
      <c r="U116" s="295"/>
      <c r="V116" s="295"/>
      <c r="W116" s="482" t="s">
        <v>448</v>
      </c>
      <c r="X116" s="483">
        <v>0.1009</v>
      </c>
      <c r="Y116" s="483">
        <v>0.1202</v>
      </c>
      <c r="Z116" s="483">
        <v>0.1351</v>
      </c>
      <c r="AA116" s="483">
        <v>0.2135</v>
      </c>
      <c r="AB116" s="483">
        <v>0.2868</v>
      </c>
      <c r="AC116" s="483">
        <v>0.30880000000000002</v>
      </c>
      <c r="AD116" s="483">
        <v>0.35149999999999998</v>
      </c>
      <c r="AE116" s="483">
        <v>0.3977</v>
      </c>
      <c r="AF116" s="483">
        <v>0.44419999999999998</v>
      </c>
      <c r="AG116" s="483">
        <v>0.48599999999999999</v>
      </c>
      <c r="AH116" s="484">
        <v>0.52129999999999999</v>
      </c>
    </row>
    <row r="117" spans="1:34" ht="15.75">
      <c r="A117" s="295"/>
      <c r="B117" s="295"/>
      <c r="C117" s="295"/>
      <c r="D117" s="295"/>
      <c r="E117" s="295"/>
      <c r="F117" s="295"/>
      <c r="G117" s="295"/>
      <c r="H117" s="295"/>
      <c r="I117" s="295"/>
      <c r="J117" s="295"/>
      <c r="K117" s="295"/>
      <c r="L117" s="295"/>
      <c r="M117" s="295"/>
      <c r="N117" s="295"/>
      <c r="O117" s="295"/>
      <c r="P117" s="295"/>
      <c r="Q117" s="295"/>
      <c r="R117" s="295"/>
      <c r="S117" s="295"/>
      <c r="T117" s="295"/>
      <c r="U117" s="295"/>
      <c r="V117" s="295"/>
      <c r="W117" s="482" t="s">
        <v>449</v>
      </c>
      <c r="X117" s="483">
        <v>0.19739999999999999</v>
      </c>
      <c r="Y117" s="483">
        <v>0.2389</v>
      </c>
      <c r="Z117" s="483">
        <v>0.26929999999999998</v>
      </c>
      <c r="AA117" s="483">
        <v>0.50690000000000002</v>
      </c>
      <c r="AB117" s="483">
        <v>0.6573</v>
      </c>
      <c r="AC117" s="483">
        <v>0.84509999999999996</v>
      </c>
      <c r="AD117" s="483">
        <v>1.095</v>
      </c>
      <c r="AE117" s="483">
        <v>1.2150000000000001</v>
      </c>
      <c r="AF117" s="483">
        <v>1.355</v>
      </c>
      <c r="AG117" s="483">
        <v>1.8</v>
      </c>
      <c r="AH117" s="484">
        <v>1.9670000000000001</v>
      </c>
    </row>
    <row r="118" spans="1:34" ht="15.75">
      <c r="A118" s="295"/>
      <c r="B118" s="295"/>
      <c r="C118" s="295"/>
      <c r="D118" s="295"/>
      <c r="E118" s="295"/>
      <c r="F118" s="295"/>
      <c r="G118" s="295"/>
      <c r="H118" s="295"/>
      <c r="I118" s="295"/>
      <c r="J118" s="295"/>
      <c r="K118" s="295"/>
      <c r="L118" s="295"/>
      <c r="M118" s="295"/>
      <c r="N118" s="295"/>
      <c r="O118" s="295"/>
      <c r="P118" s="295"/>
      <c r="Q118" s="295"/>
      <c r="R118" s="295"/>
      <c r="S118" s="295"/>
      <c r="T118" s="295"/>
      <c r="U118" s="295"/>
      <c r="V118" s="295"/>
      <c r="W118" s="482" t="s">
        <v>450</v>
      </c>
      <c r="X118" s="483">
        <v>2.3900000000000002E-3</v>
      </c>
      <c r="Y118" s="483">
        <v>2.849E-3</v>
      </c>
      <c r="Z118" s="483">
        <v>2.8159999999999999E-3</v>
      </c>
      <c r="AA118" s="483">
        <v>5.2880000000000002E-3</v>
      </c>
      <c r="AB118" s="483">
        <v>8.6789999999999992E-3</v>
      </c>
      <c r="AC118" s="483">
        <v>9.1579999999999995E-3</v>
      </c>
      <c r="AD118" s="483">
        <v>9.9889999999999996E-3</v>
      </c>
      <c r="AE118" s="483">
        <v>1.171E-2</v>
      </c>
      <c r="AF118" s="483">
        <v>1.4080000000000001E-2</v>
      </c>
      <c r="AG118" s="483">
        <v>1.5599999999999999E-2</v>
      </c>
      <c r="AH118" s="484">
        <v>1.7350000000000001E-2</v>
      </c>
    </row>
    <row r="119" spans="1:34" ht="15.75">
      <c r="A119" s="295"/>
      <c r="B119" s="295"/>
      <c r="C119" s="295"/>
      <c r="D119" s="295"/>
      <c r="E119" s="295"/>
      <c r="F119" s="295"/>
      <c r="G119" s="295"/>
      <c r="H119" s="295"/>
      <c r="I119" s="295"/>
      <c r="J119" s="295"/>
      <c r="K119" s="295"/>
      <c r="L119" s="295"/>
      <c r="M119" s="295"/>
      <c r="N119" s="295"/>
      <c r="O119" s="295"/>
      <c r="P119" s="295"/>
      <c r="Q119" s="295"/>
      <c r="R119" s="295"/>
      <c r="S119" s="295"/>
      <c r="T119" s="295"/>
      <c r="U119" s="295"/>
      <c r="V119" s="295"/>
      <c r="W119" s="482" t="s">
        <v>451</v>
      </c>
      <c r="X119" s="483">
        <v>8.5120000000000001E-2</v>
      </c>
      <c r="Y119" s="483">
        <v>0.10150000000000001</v>
      </c>
      <c r="Z119" s="483">
        <v>0.1123</v>
      </c>
      <c r="AA119" s="483">
        <v>0.17660000000000001</v>
      </c>
      <c r="AB119" s="483">
        <v>0.25109999999999999</v>
      </c>
      <c r="AC119" s="483">
        <v>0.26250000000000001</v>
      </c>
      <c r="AD119" s="483">
        <v>0.30759999999999998</v>
      </c>
      <c r="AE119" s="483">
        <v>0.36409999999999998</v>
      </c>
      <c r="AF119" s="483">
        <v>0.42709999999999998</v>
      </c>
      <c r="AG119" s="483">
        <v>0.48909999999999998</v>
      </c>
      <c r="AH119" s="484">
        <v>0.54549999999999998</v>
      </c>
    </row>
    <row r="120" spans="1:34" ht="15.75">
      <c r="A120" s="295"/>
      <c r="B120" s="295"/>
      <c r="C120" s="295"/>
      <c r="D120" s="295"/>
      <c r="E120" s="295"/>
      <c r="F120" s="295"/>
      <c r="G120" s="295"/>
      <c r="H120" s="295"/>
      <c r="I120" s="295"/>
      <c r="J120" s="295"/>
      <c r="K120" s="295"/>
      <c r="L120" s="295"/>
      <c r="M120" s="295"/>
      <c r="N120" s="295"/>
      <c r="O120" s="295"/>
      <c r="P120" s="295"/>
      <c r="Q120" s="295"/>
      <c r="R120" s="295"/>
      <c r="S120" s="295"/>
      <c r="T120" s="295"/>
      <c r="U120" s="295"/>
      <c r="V120" s="295"/>
      <c r="W120" s="482" t="s">
        <v>452</v>
      </c>
      <c r="X120" s="483">
        <v>3.3050000000000002</v>
      </c>
      <c r="Y120" s="483">
        <v>3.4470000000000001</v>
      </c>
      <c r="Z120" s="483">
        <v>3.851</v>
      </c>
      <c r="AA120" s="483">
        <v>5.2969999999999997</v>
      </c>
      <c r="AB120" s="483">
        <v>6.3860000000000001</v>
      </c>
      <c r="AC120" s="483">
        <v>3.0379999999999998</v>
      </c>
      <c r="AD120" s="483">
        <v>3.89</v>
      </c>
      <c r="AE120" s="483">
        <v>3.8279999999999998</v>
      </c>
      <c r="AF120" s="483">
        <v>3.8969999999999998</v>
      </c>
      <c r="AG120" s="483">
        <v>3.9740000000000002</v>
      </c>
      <c r="AH120" s="484">
        <v>4.0739999999999998</v>
      </c>
    </row>
    <row r="121" spans="1:34" ht="15.75">
      <c r="A121" s="295"/>
      <c r="B121" s="295"/>
      <c r="C121" s="295"/>
      <c r="D121" s="295"/>
      <c r="E121" s="295"/>
      <c r="F121" s="295"/>
      <c r="G121" s="295"/>
      <c r="H121" s="295"/>
      <c r="I121" s="295"/>
      <c r="J121" s="295"/>
      <c r="K121" s="295"/>
      <c r="L121" s="295"/>
      <c r="M121" s="295"/>
      <c r="N121" s="295"/>
      <c r="O121" s="295"/>
      <c r="P121" s="295"/>
      <c r="Q121" s="295"/>
      <c r="R121" s="295"/>
      <c r="S121" s="295"/>
      <c r="T121" s="295"/>
      <c r="U121" s="295"/>
      <c r="V121" s="295"/>
      <c r="W121" s="482" t="s">
        <v>453</v>
      </c>
      <c r="X121" s="483">
        <v>3.2499999999999999E-3</v>
      </c>
      <c r="Y121" s="483">
        <v>4.7749999999999997E-3</v>
      </c>
      <c r="Z121" s="483">
        <v>6.3109999999999998E-3</v>
      </c>
      <c r="AA121" s="483">
        <v>1.468E-2</v>
      </c>
      <c r="AB121" s="483">
        <v>2.4920000000000001E-2</v>
      </c>
      <c r="AC121" s="483">
        <v>3.252E-2</v>
      </c>
      <c r="AD121" s="483">
        <v>4.3400000000000001E-2</v>
      </c>
      <c r="AE121" s="483">
        <v>5.8979999999999998E-2</v>
      </c>
      <c r="AF121" s="483">
        <v>8.1299999999999997E-2</v>
      </c>
      <c r="AG121" s="483">
        <v>9.8049999999999998E-2</v>
      </c>
      <c r="AH121" s="484">
        <v>0.1166</v>
      </c>
    </row>
    <row r="122" spans="1:34" ht="15.75">
      <c r="A122" s="295"/>
      <c r="B122" s="295"/>
      <c r="C122" s="295"/>
      <c r="D122" s="295"/>
      <c r="E122" s="295"/>
      <c r="F122" s="295"/>
      <c r="G122" s="295"/>
      <c r="H122" s="295"/>
      <c r="I122" s="295"/>
      <c r="J122" s="295"/>
      <c r="K122" s="295"/>
      <c r="L122" s="295"/>
      <c r="M122" s="295"/>
      <c r="N122" s="295"/>
      <c r="O122" s="295"/>
      <c r="P122" s="295"/>
      <c r="Q122" s="295"/>
      <c r="R122" s="295"/>
      <c r="S122" s="295"/>
      <c r="T122" s="295"/>
      <c r="U122" s="295"/>
      <c r="V122" s="295"/>
      <c r="W122" s="482" t="s">
        <v>454</v>
      </c>
      <c r="X122" s="483">
        <v>0.1115</v>
      </c>
      <c r="Y122" s="483">
        <v>0.14860000000000001</v>
      </c>
      <c r="Z122" s="483">
        <v>0.21079999999999999</v>
      </c>
      <c r="AA122" s="483">
        <v>0.40179999999999999</v>
      </c>
      <c r="AB122" s="483">
        <v>0.67969999999999997</v>
      </c>
      <c r="AC122" s="483">
        <v>0.89810000000000001</v>
      </c>
      <c r="AD122" s="483">
        <v>1.198</v>
      </c>
      <c r="AE122" s="483">
        <v>1.5449999999999999</v>
      </c>
      <c r="AF122" s="483">
        <v>1.901</v>
      </c>
      <c r="AG122" s="483">
        <v>2.2250000000000001</v>
      </c>
      <c r="AH122" s="484">
        <v>2.4990000000000001</v>
      </c>
    </row>
    <row r="123" spans="1:34" ht="15.75">
      <c r="A123" s="295"/>
      <c r="B123" s="295"/>
      <c r="C123" s="295"/>
      <c r="D123" s="295"/>
      <c r="E123" s="295"/>
      <c r="F123" s="295"/>
      <c r="G123" s="295"/>
      <c r="H123" s="295"/>
      <c r="I123" s="295"/>
      <c r="J123" s="295"/>
      <c r="K123" s="295"/>
      <c r="L123" s="295"/>
      <c r="M123" s="295"/>
      <c r="N123" s="295"/>
      <c r="O123" s="295"/>
      <c r="P123" s="295"/>
      <c r="Q123" s="295"/>
      <c r="R123" s="295"/>
      <c r="S123" s="295"/>
      <c r="T123" s="295"/>
      <c r="U123" s="295"/>
      <c r="V123" s="295"/>
      <c r="W123" s="482" t="s">
        <v>455</v>
      </c>
      <c r="X123" s="483">
        <v>2.7390000000000001E-3</v>
      </c>
      <c r="Y123" s="483">
        <v>3.3570000000000002E-3</v>
      </c>
      <c r="Z123" s="483">
        <v>4.1359999999999999E-3</v>
      </c>
      <c r="AA123" s="483">
        <v>8.2419999999999993E-3</v>
      </c>
      <c r="AB123" s="483">
        <v>1.3129999999999999E-2</v>
      </c>
      <c r="AC123" s="483">
        <v>1.61E-2</v>
      </c>
      <c r="AD123" s="483">
        <v>2.103E-2</v>
      </c>
      <c r="AE123" s="483">
        <v>2.7570000000000001E-2</v>
      </c>
      <c r="AF123" s="483">
        <v>3.637E-2</v>
      </c>
      <c r="AG123" s="483">
        <v>4.3090000000000003E-2</v>
      </c>
      <c r="AH123" s="484">
        <v>5.0479999999999997E-2</v>
      </c>
    </row>
    <row r="124" spans="1:34" ht="15.75">
      <c r="A124" s="295"/>
      <c r="B124" s="295"/>
      <c r="C124" s="295"/>
      <c r="D124" s="295"/>
      <c r="E124" s="295"/>
      <c r="F124" s="295"/>
      <c r="G124" s="295"/>
      <c r="H124" s="295"/>
      <c r="I124" s="295"/>
      <c r="J124" s="295"/>
      <c r="K124" s="295"/>
      <c r="L124" s="295"/>
      <c r="M124" s="295"/>
      <c r="N124" s="295"/>
      <c r="O124" s="295"/>
      <c r="P124" s="295"/>
      <c r="Q124" s="295"/>
      <c r="R124" s="295"/>
      <c r="S124" s="295"/>
      <c r="T124" s="295"/>
      <c r="U124" s="295"/>
      <c r="V124" s="295"/>
      <c r="W124" s="482" t="s">
        <v>456</v>
      </c>
      <c r="X124" s="483">
        <v>1.814E-2</v>
      </c>
      <c r="Y124" s="483">
        <v>2.2849999999999999E-2</v>
      </c>
      <c r="Z124" s="483">
        <v>2.6100000000000002E-2</v>
      </c>
      <c r="AA124" s="483">
        <v>4.0590000000000001E-2</v>
      </c>
      <c r="AB124" s="483">
        <v>5.4739999999999997E-2</v>
      </c>
      <c r="AC124" s="483">
        <v>5.876E-2</v>
      </c>
      <c r="AD124" s="483">
        <v>6.7479999999999998E-2</v>
      </c>
      <c r="AE124" s="483">
        <v>7.7240000000000003E-2</v>
      </c>
      <c r="AF124" s="483">
        <v>8.6629999999999999E-2</v>
      </c>
      <c r="AG124" s="483">
        <v>9.4450000000000006E-2</v>
      </c>
      <c r="AH124" s="484">
        <v>0.1009</v>
      </c>
    </row>
    <row r="125" spans="1:34" ht="15.75">
      <c r="A125" s="295"/>
      <c r="B125" s="295"/>
      <c r="C125" s="295"/>
      <c r="D125" s="295"/>
      <c r="E125" s="295"/>
      <c r="F125" s="295"/>
      <c r="G125" s="295"/>
      <c r="H125" s="295"/>
      <c r="I125" s="295"/>
      <c r="J125" s="295"/>
      <c r="K125" s="295"/>
      <c r="L125" s="295"/>
      <c r="M125" s="295"/>
      <c r="N125" s="295"/>
      <c r="O125" s="295"/>
      <c r="P125" s="295"/>
      <c r="Q125" s="295"/>
      <c r="R125" s="295"/>
      <c r="S125" s="295"/>
      <c r="T125" s="295"/>
      <c r="U125" s="295"/>
      <c r="V125" s="295"/>
      <c r="W125" s="482" t="s">
        <v>457</v>
      </c>
      <c r="X125" s="483">
        <v>5.7549999999999995E-4</v>
      </c>
      <c r="Y125" s="483">
        <v>8.1939999999999997E-4</v>
      </c>
      <c r="Z125" s="483">
        <v>1.173E-3</v>
      </c>
      <c r="AA125" s="483">
        <v>2.3909999999999999E-3</v>
      </c>
      <c r="AB125" s="483">
        <v>4.117E-3</v>
      </c>
      <c r="AC125" s="483">
        <v>5.3220000000000003E-3</v>
      </c>
      <c r="AD125" s="483">
        <v>6.9610000000000002E-3</v>
      </c>
      <c r="AE125" s="483">
        <v>9.2440000000000005E-3</v>
      </c>
      <c r="AF125" s="483">
        <v>1.2529999999999999E-2</v>
      </c>
      <c r="AG125" s="483">
        <v>1.602E-2</v>
      </c>
      <c r="AH125" s="484">
        <v>1.9720000000000001E-2</v>
      </c>
    </row>
    <row r="126" spans="1:34" ht="15.75">
      <c r="A126" s="295"/>
      <c r="B126" s="295"/>
      <c r="C126" s="295"/>
      <c r="D126" s="295"/>
      <c r="E126" s="295"/>
      <c r="F126" s="295"/>
      <c r="G126" s="295"/>
      <c r="H126" s="295"/>
      <c r="I126" s="295"/>
      <c r="J126" s="295"/>
      <c r="K126" s="295"/>
      <c r="L126" s="295"/>
      <c r="M126" s="295"/>
      <c r="N126" s="295"/>
      <c r="O126" s="295"/>
      <c r="P126" s="295"/>
      <c r="Q126" s="295"/>
      <c r="R126" s="295"/>
      <c r="S126" s="295"/>
      <c r="T126" s="295"/>
      <c r="U126" s="295"/>
      <c r="V126" s="295"/>
      <c r="W126" s="482" t="s">
        <v>458</v>
      </c>
      <c r="X126" s="483">
        <v>1.3179999999999999E-3</v>
      </c>
      <c r="Y126" s="483">
        <v>1.7290000000000001E-3</v>
      </c>
      <c r="Z126" s="483">
        <v>2.3640000000000002E-3</v>
      </c>
      <c r="AA126" s="483">
        <v>5.0429999999999997E-3</v>
      </c>
      <c r="AB126" s="483">
        <v>9.129E-3</v>
      </c>
      <c r="AC126" s="483">
        <v>1.238E-2</v>
      </c>
      <c r="AD126" s="483">
        <v>1.6910000000000001E-2</v>
      </c>
      <c r="AE126" s="483">
        <v>2.334E-2</v>
      </c>
      <c r="AF126" s="483">
        <v>3.2340000000000001E-2</v>
      </c>
      <c r="AG126" s="483">
        <v>3.9419999999999997E-2</v>
      </c>
      <c r="AH126" s="484">
        <v>4.7210000000000002E-2</v>
      </c>
    </row>
    <row r="127" spans="1:34" ht="15.75">
      <c r="A127" s="295"/>
      <c r="B127" s="295"/>
      <c r="C127" s="295"/>
      <c r="D127" s="295"/>
      <c r="E127" s="295"/>
      <c r="F127" s="295"/>
      <c r="G127" s="295"/>
      <c r="H127" s="295"/>
      <c r="I127" s="295"/>
      <c r="J127" s="295"/>
      <c r="K127" s="295"/>
      <c r="L127" s="295"/>
      <c r="M127" s="295"/>
      <c r="N127" s="295"/>
      <c r="O127" s="295"/>
      <c r="P127" s="295"/>
      <c r="Q127" s="295"/>
      <c r="R127" s="295"/>
      <c r="S127" s="295"/>
      <c r="T127" s="295"/>
      <c r="U127" s="295"/>
      <c r="V127" s="295"/>
      <c r="W127" s="482" t="s">
        <v>276</v>
      </c>
      <c r="X127" s="483">
        <v>0.14760000000000001</v>
      </c>
      <c r="Y127" s="483">
        <v>0.19020000000000001</v>
      </c>
      <c r="Z127" s="483">
        <v>0.25009999999999999</v>
      </c>
      <c r="AA127" s="483">
        <v>0.41739999999999999</v>
      </c>
      <c r="AB127" s="483">
        <v>0.63539999999999996</v>
      </c>
      <c r="AC127" s="483">
        <v>0.72199999999999998</v>
      </c>
      <c r="AD127" s="483">
        <v>0.84530000000000005</v>
      </c>
      <c r="AE127" s="483">
        <v>0.97219999999999995</v>
      </c>
      <c r="AF127" s="483">
        <v>1.097</v>
      </c>
      <c r="AG127" s="483">
        <v>1.21</v>
      </c>
      <c r="AH127" s="484">
        <v>1.3069999999999999</v>
      </c>
    </row>
    <row r="128" spans="1:34" ht="15.75">
      <c r="A128" s="295"/>
      <c r="B128" s="295"/>
      <c r="C128" s="295"/>
      <c r="D128" s="295"/>
      <c r="E128" s="295"/>
      <c r="F128" s="295"/>
      <c r="G128" s="295"/>
      <c r="H128" s="295"/>
      <c r="I128" s="295"/>
      <c r="J128" s="295"/>
      <c r="K128" s="295"/>
      <c r="L128" s="295"/>
      <c r="M128" s="295"/>
      <c r="N128" s="295"/>
      <c r="O128" s="295"/>
      <c r="P128" s="295"/>
      <c r="Q128" s="295"/>
      <c r="R128" s="295"/>
      <c r="S128" s="295"/>
      <c r="T128" s="295"/>
      <c r="U128" s="295"/>
      <c r="V128" s="295"/>
      <c r="W128" s="482" t="s">
        <v>459</v>
      </c>
      <c r="X128" s="483">
        <v>7.4149999999999994E-2</v>
      </c>
      <c r="Y128" s="483">
        <v>9.0800000000000006E-2</v>
      </c>
      <c r="Z128" s="483">
        <v>0.1067</v>
      </c>
      <c r="AA128" s="483">
        <v>0.185</v>
      </c>
      <c r="AB128" s="483">
        <v>0.28449999999999998</v>
      </c>
      <c r="AC128" s="483">
        <v>0.30509999999999998</v>
      </c>
      <c r="AD128" s="483">
        <v>0.35749999999999998</v>
      </c>
      <c r="AE128" s="483">
        <v>0.41620000000000001</v>
      </c>
      <c r="AF128" s="483">
        <v>0.47670000000000001</v>
      </c>
      <c r="AG128" s="483">
        <v>0.53390000000000004</v>
      </c>
      <c r="AH128" s="484">
        <v>0.58540000000000003</v>
      </c>
    </row>
    <row r="129" spans="1:34" ht="15.75">
      <c r="A129" s="295"/>
      <c r="B129" s="295"/>
      <c r="C129" s="295"/>
      <c r="D129" s="295"/>
      <c r="E129" s="295"/>
      <c r="F129" s="295"/>
      <c r="G129" s="295"/>
      <c r="H129" s="295"/>
      <c r="I129" s="295"/>
      <c r="J129" s="295"/>
      <c r="K129" s="295"/>
      <c r="L129" s="295"/>
      <c r="M129" s="295"/>
      <c r="N129" s="295"/>
      <c r="O129" s="295"/>
      <c r="P129" s="295"/>
      <c r="Q129" s="295"/>
      <c r="R129" s="295"/>
      <c r="S129" s="295"/>
      <c r="T129" s="295"/>
      <c r="U129" s="295"/>
      <c r="V129" s="295"/>
      <c r="W129" s="482" t="s">
        <v>460</v>
      </c>
      <c r="X129" s="483">
        <v>8.3339999999999997E-2</v>
      </c>
      <c r="Y129" s="483">
        <v>9.8699999999999996E-2</v>
      </c>
      <c r="Z129" s="483">
        <v>0.1069</v>
      </c>
      <c r="AA129" s="483">
        <v>0.1648</v>
      </c>
      <c r="AB129" s="483">
        <v>0.2122</v>
      </c>
      <c r="AC129" s="483">
        <v>0.21260000000000001</v>
      </c>
      <c r="AD129" s="483">
        <v>0.22819999999999999</v>
      </c>
      <c r="AE129" s="483">
        <v>0.25030000000000002</v>
      </c>
      <c r="AF129" s="483">
        <v>0.27579999999999999</v>
      </c>
      <c r="AG129" s="483">
        <v>0.30159999999999998</v>
      </c>
      <c r="AH129" s="484">
        <v>0.3256</v>
      </c>
    </row>
    <row r="130" spans="1:34" ht="15.75">
      <c r="A130" s="295"/>
      <c r="B130" s="295"/>
      <c r="C130" s="295"/>
      <c r="D130" s="295"/>
      <c r="E130" s="295"/>
      <c r="F130" s="295"/>
      <c r="G130" s="295"/>
      <c r="H130" s="295"/>
      <c r="I130" s="295"/>
      <c r="J130" s="295"/>
      <c r="K130" s="295"/>
      <c r="L130" s="295"/>
      <c r="M130" s="295"/>
      <c r="N130" s="295"/>
      <c r="O130" s="295"/>
      <c r="P130" s="295"/>
      <c r="Q130" s="295"/>
      <c r="R130" s="295"/>
      <c r="S130" s="295"/>
      <c r="T130" s="295"/>
      <c r="U130" s="295"/>
      <c r="V130" s="295"/>
      <c r="W130" s="482" t="s">
        <v>461</v>
      </c>
      <c r="X130" s="483">
        <v>0.2271</v>
      </c>
      <c r="Y130" s="483">
        <v>0.27039999999999997</v>
      </c>
      <c r="Z130" s="483">
        <v>0.30299999999999999</v>
      </c>
      <c r="AA130" s="483">
        <v>0.42880000000000001</v>
      </c>
      <c r="AB130" s="483">
        <v>0.67889999999999995</v>
      </c>
      <c r="AC130" s="483">
        <v>0.73760000000000003</v>
      </c>
      <c r="AD130" s="483">
        <v>0.86990000000000001</v>
      </c>
      <c r="AE130" s="483">
        <v>1.0089999999999999</v>
      </c>
      <c r="AF130" s="483">
        <v>1.143</v>
      </c>
      <c r="AG130" s="483">
        <v>1.2589999999999999</v>
      </c>
      <c r="AH130" s="484">
        <v>1.329</v>
      </c>
    </row>
    <row r="131" spans="1:34" ht="15.75">
      <c r="A131" s="295"/>
      <c r="B131" s="295"/>
      <c r="C131" s="295"/>
      <c r="D131" s="295"/>
      <c r="E131" s="295"/>
      <c r="F131" s="295"/>
      <c r="G131" s="295"/>
      <c r="H131" s="295"/>
      <c r="I131" s="295"/>
      <c r="J131" s="295"/>
      <c r="K131" s="295"/>
      <c r="L131" s="295"/>
      <c r="M131" s="295"/>
      <c r="N131" s="295"/>
      <c r="O131" s="295"/>
      <c r="P131" s="295"/>
      <c r="Q131" s="295"/>
      <c r="R131" s="295"/>
      <c r="S131" s="295"/>
      <c r="T131" s="295"/>
      <c r="U131" s="295"/>
      <c r="V131" s="295"/>
      <c r="W131" s="482" t="s">
        <v>462</v>
      </c>
      <c r="X131" s="483">
        <v>2.95</v>
      </c>
      <c r="Y131" s="483">
        <v>3.5310000000000001</v>
      </c>
      <c r="Z131" s="483">
        <v>4.069</v>
      </c>
      <c r="AA131" s="483">
        <v>6.5570000000000004</v>
      </c>
      <c r="AB131" s="483">
        <v>9.7260000000000009</v>
      </c>
      <c r="AC131" s="483">
        <v>10.43</v>
      </c>
      <c r="AD131" s="483">
        <v>12.08</v>
      </c>
      <c r="AE131" s="483">
        <v>13.94</v>
      </c>
      <c r="AF131" s="483">
        <v>15.84</v>
      </c>
      <c r="AG131" s="483">
        <v>17.59</v>
      </c>
      <c r="AH131" s="484">
        <v>19.14</v>
      </c>
    </row>
    <row r="132" spans="1:34" ht="15.75">
      <c r="A132" s="295"/>
      <c r="B132" s="295"/>
      <c r="C132" s="295"/>
      <c r="D132" s="295"/>
      <c r="E132" s="295"/>
      <c r="F132" s="295"/>
      <c r="G132" s="295"/>
      <c r="H132" s="295"/>
      <c r="I132" s="295"/>
      <c r="J132" s="295"/>
      <c r="K132" s="295"/>
      <c r="L132" s="295"/>
      <c r="M132" s="295"/>
      <c r="N132" s="295"/>
      <c r="O132" s="295"/>
      <c r="P132" s="295"/>
      <c r="Q132" s="295"/>
      <c r="R132" s="295"/>
      <c r="S132" s="295"/>
      <c r="T132" s="295"/>
      <c r="U132" s="295"/>
      <c r="V132" s="295"/>
      <c r="W132" s="482" t="s">
        <v>463</v>
      </c>
      <c r="X132" s="483">
        <v>1.2130000000000001</v>
      </c>
      <c r="Y132" s="483">
        <v>1.403</v>
      </c>
      <c r="Z132" s="483">
        <v>1.5449999999999999</v>
      </c>
      <c r="AA132" s="483">
        <v>2.556</v>
      </c>
      <c r="AB132" s="483">
        <v>4.0510000000000002</v>
      </c>
      <c r="AC132" s="483">
        <v>4.7910000000000004</v>
      </c>
      <c r="AD132" s="483">
        <v>6.03</v>
      </c>
      <c r="AE132" s="483">
        <v>7.3470000000000004</v>
      </c>
      <c r="AF132" s="483">
        <v>8.4990000000000006</v>
      </c>
      <c r="AG132" s="483">
        <v>9.4130000000000003</v>
      </c>
      <c r="AH132" s="484">
        <v>10.119999999999999</v>
      </c>
    </row>
    <row r="133" spans="1:34" ht="15.75">
      <c r="A133" s="295"/>
      <c r="B133" s="295"/>
      <c r="C133" s="295"/>
      <c r="D133" s="295"/>
      <c r="E133" s="295"/>
      <c r="F133" s="295"/>
      <c r="G133" s="295"/>
      <c r="H133" s="295"/>
      <c r="I133" s="295"/>
      <c r="J133" s="295"/>
      <c r="K133" s="295"/>
      <c r="L133" s="295"/>
      <c r="M133" s="295"/>
      <c r="N133" s="295"/>
      <c r="O133" s="295"/>
      <c r="P133" s="295"/>
      <c r="Q133" s="295"/>
      <c r="R133" s="295"/>
      <c r="S133" s="295"/>
      <c r="T133" s="295"/>
      <c r="U133" s="295"/>
      <c r="V133" s="295"/>
      <c r="W133" s="482" t="s">
        <v>464</v>
      </c>
      <c r="X133" s="483">
        <v>5.5480000000000002E-2</v>
      </c>
      <c r="Y133" s="483">
        <v>7.535E-2</v>
      </c>
      <c r="Z133" s="483">
        <v>9.7379999999999994E-2</v>
      </c>
      <c r="AA133" s="483">
        <v>0.2046</v>
      </c>
      <c r="AB133" s="483">
        <v>0.36830000000000002</v>
      </c>
      <c r="AC133" s="483">
        <v>0.45669999999999999</v>
      </c>
      <c r="AD133" s="483">
        <v>0.58609999999999995</v>
      </c>
      <c r="AE133" s="483">
        <v>0.77259999999999995</v>
      </c>
      <c r="AF133" s="483">
        <v>1.018</v>
      </c>
      <c r="AG133" s="483">
        <v>1.2050000000000001</v>
      </c>
      <c r="AH133" s="484">
        <v>1.407</v>
      </c>
    </row>
    <row r="134" spans="1:34" ht="15.75">
      <c r="A134" s="295"/>
      <c r="B134" s="295"/>
      <c r="C134" s="295"/>
      <c r="D134" s="295"/>
      <c r="E134" s="295"/>
      <c r="F134" s="295"/>
      <c r="G134" s="295"/>
      <c r="H134" s="295"/>
      <c r="I134" s="295"/>
      <c r="J134" s="295"/>
      <c r="K134" s="295"/>
      <c r="L134" s="295"/>
      <c r="M134" s="295"/>
      <c r="N134" s="295"/>
      <c r="O134" s="295"/>
      <c r="P134" s="295"/>
      <c r="Q134" s="295"/>
      <c r="R134" s="295"/>
      <c r="S134" s="295"/>
      <c r="T134" s="295"/>
      <c r="U134" s="295"/>
      <c r="V134" s="295"/>
      <c r="W134" s="482" t="s">
        <v>465</v>
      </c>
      <c r="X134" s="483">
        <v>4.5339999999999998E-3</v>
      </c>
      <c r="Y134" s="483">
        <v>5.0309999999999999E-3</v>
      </c>
      <c r="Z134" s="483">
        <v>5.5149999999999999E-3</v>
      </c>
      <c r="AA134" s="483">
        <v>1.0319999999999999E-2</v>
      </c>
      <c r="AB134" s="483">
        <v>1.7680000000000001E-2</v>
      </c>
      <c r="AC134" s="483">
        <v>2.0809999999999999E-2</v>
      </c>
      <c r="AD134" s="483">
        <v>2.46E-2</v>
      </c>
      <c r="AE134" s="483">
        <v>2.989E-2</v>
      </c>
      <c r="AF134" s="483">
        <v>3.7510000000000002E-2</v>
      </c>
      <c r="AG134" s="483">
        <v>4.394E-2</v>
      </c>
      <c r="AH134" s="484">
        <v>5.0799999999999998E-2</v>
      </c>
    </row>
    <row r="135" spans="1:34" ht="15.75">
      <c r="A135" s="295"/>
      <c r="B135" s="295"/>
      <c r="C135" s="295"/>
      <c r="D135" s="295"/>
      <c r="E135" s="295"/>
      <c r="F135" s="295"/>
      <c r="G135" s="295"/>
      <c r="H135" s="295"/>
      <c r="I135" s="295"/>
      <c r="J135" s="295"/>
      <c r="K135" s="295"/>
      <c r="L135" s="295"/>
      <c r="M135" s="295"/>
      <c r="N135" s="295"/>
      <c r="O135" s="295"/>
      <c r="P135" s="295"/>
      <c r="Q135" s="295"/>
      <c r="R135" s="295"/>
      <c r="S135" s="295"/>
      <c r="T135" s="295"/>
      <c r="U135" s="295"/>
      <c r="V135" s="295"/>
      <c r="W135" s="482" t="s">
        <v>466</v>
      </c>
      <c r="X135" s="483">
        <v>5.0299999999999997E-4</v>
      </c>
      <c r="Y135" s="483">
        <v>6.3009999999999997E-4</v>
      </c>
      <c r="Z135" s="483">
        <v>7.9659999999999996E-4</v>
      </c>
      <c r="AA135" s="483">
        <v>1.769E-3</v>
      </c>
      <c r="AB135" s="483">
        <v>3.2290000000000001E-3</v>
      </c>
      <c r="AC135" s="483">
        <v>4.2680000000000001E-3</v>
      </c>
      <c r="AD135" s="483">
        <v>5.5389999999999997E-3</v>
      </c>
      <c r="AE135" s="483">
        <v>7.2550000000000002E-3</v>
      </c>
      <c r="AF135" s="483">
        <v>9.7470000000000005E-3</v>
      </c>
      <c r="AG135" s="483">
        <v>1.163E-2</v>
      </c>
      <c r="AH135" s="484">
        <v>1.3559999999999999E-2</v>
      </c>
    </row>
    <row r="136" spans="1:34" ht="15.75">
      <c r="A136" s="295"/>
      <c r="B136" s="295"/>
      <c r="C136" s="295"/>
      <c r="D136" s="295"/>
      <c r="E136" s="295"/>
      <c r="F136" s="295"/>
      <c r="G136" s="295"/>
      <c r="H136" s="295"/>
      <c r="I136" s="295"/>
      <c r="J136" s="295"/>
      <c r="K136" s="295"/>
      <c r="L136" s="295"/>
      <c r="M136" s="295"/>
      <c r="N136" s="295"/>
      <c r="O136" s="295"/>
      <c r="P136" s="295"/>
      <c r="Q136" s="295"/>
      <c r="R136" s="295"/>
      <c r="S136" s="295"/>
      <c r="T136" s="295"/>
      <c r="U136" s="295"/>
      <c r="V136" s="295"/>
      <c r="W136" s="482" t="s">
        <v>467</v>
      </c>
      <c r="X136" s="483">
        <v>0.54800000000000004</v>
      </c>
      <c r="Y136" s="483">
        <v>0.6038</v>
      </c>
      <c r="Z136" s="483">
        <v>0.64480000000000004</v>
      </c>
      <c r="AA136" s="483">
        <v>1.0209999999999999</v>
      </c>
      <c r="AB136" s="483">
        <v>1.5229999999999999</v>
      </c>
      <c r="AC136" s="483">
        <v>1.595</v>
      </c>
      <c r="AD136" s="483">
        <v>1.952</v>
      </c>
      <c r="AE136" s="483">
        <v>2.3479999999999999</v>
      </c>
      <c r="AF136" s="483">
        <v>2.7759999999999998</v>
      </c>
      <c r="AG136" s="483">
        <v>3.153</v>
      </c>
      <c r="AH136" s="484">
        <v>3.4670000000000001</v>
      </c>
    </row>
    <row r="137" spans="1:34" ht="15.75">
      <c r="A137" s="295"/>
      <c r="B137" s="295"/>
      <c r="C137" s="295"/>
      <c r="D137" s="295"/>
      <c r="E137" s="295"/>
      <c r="F137" s="295"/>
      <c r="G137" s="295"/>
      <c r="H137" s="295"/>
      <c r="I137" s="295"/>
      <c r="J137" s="295"/>
      <c r="K137" s="295"/>
      <c r="L137" s="295"/>
      <c r="M137" s="295"/>
      <c r="N137" s="295"/>
      <c r="O137" s="295"/>
      <c r="P137" s="295"/>
      <c r="Q137" s="295"/>
      <c r="R137" s="295"/>
      <c r="S137" s="295"/>
      <c r="T137" s="295"/>
      <c r="U137" s="295"/>
      <c r="V137" s="295"/>
      <c r="W137" s="482" t="s">
        <v>468</v>
      </c>
      <c r="X137" s="483">
        <v>0.55300000000000005</v>
      </c>
      <c r="Y137" s="483">
        <v>0.60429999999999995</v>
      </c>
      <c r="Z137" s="483">
        <v>0.65980000000000005</v>
      </c>
      <c r="AA137" s="483">
        <v>1.0489999999999999</v>
      </c>
      <c r="AB137" s="483">
        <v>1.4930000000000001</v>
      </c>
      <c r="AC137" s="483">
        <v>1.7</v>
      </c>
      <c r="AD137" s="483">
        <v>2.1070000000000002</v>
      </c>
      <c r="AE137" s="483">
        <v>2.5790000000000002</v>
      </c>
      <c r="AF137" s="483">
        <v>3.0070000000000001</v>
      </c>
      <c r="AG137" s="483">
        <v>3.3879999999999999</v>
      </c>
      <c r="AH137" s="484">
        <v>3.6930000000000001</v>
      </c>
    </row>
    <row r="138" spans="1:34" ht="15.75">
      <c r="A138" s="295"/>
      <c r="B138" s="295"/>
      <c r="C138" s="295"/>
      <c r="D138" s="295"/>
      <c r="E138" s="295"/>
      <c r="F138" s="295"/>
      <c r="G138" s="295"/>
      <c r="H138" s="295"/>
      <c r="I138" s="295"/>
      <c r="J138" s="295"/>
      <c r="K138" s="295"/>
      <c r="L138" s="295"/>
      <c r="M138" s="295"/>
      <c r="N138" s="295"/>
      <c r="O138" s="295"/>
      <c r="P138" s="295"/>
      <c r="Q138" s="295"/>
      <c r="R138" s="295"/>
      <c r="S138" s="295"/>
      <c r="T138" s="295"/>
      <c r="U138" s="295"/>
      <c r="V138" s="295"/>
      <c r="W138" s="482" t="s">
        <v>469</v>
      </c>
      <c r="X138" s="483">
        <v>7.1300000000000001E-3</v>
      </c>
      <c r="Y138" s="483">
        <v>8.8959999999999994E-3</v>
      </c>
      <c r="Z138" s="483">
        <v>1.0710000000000001E-2</v>
      </c>
      <c r="AA138" s="483">
        <v>1.9779999999999999E-2</v>
      </c>
      <c r="AB138" s="483">
        <v>3.0470000000000001E-2</v>
      </c>
      <c r="AC138" s="483">
        <v>3.5709999999999999E-2</v>
      </c>
      <c r="AD138" s="483">
        <v>4.2810000000000001E-2</v>
      </c>
      <c r="AE138" s="483">
        <v>5.2909999999999999E-2</v>
      </c>
      <c r="AF138" s="483">
        <v>6.7150000000000001E-2</v>
      </c>
      <c r="AG138" s="483">
        <v>7.6420000000000002E-2</v>
      </c>
      <c r="AH138" s="484">
        <v>8.7989999999999999E-2</v>
      </c>
    </row>
    <row r="139" spans="1:34" ht="15.75">
      <c r="A139" s="295"/>
      <c r="B139" s="295"/>
      <c r="C139" s="295"/>
      <c r="D139" s="295"/>
      <c r="E139" s="295"/>
      <c r="F139" s="295"/>
      <c r="G139" s="295"/>
      <c r="H139" s="295"/>
      <c r="I139" s="295"/>
      <c r="J139" s="295"/>
      <c r="K139" s="295"/>
      <c r="L139" s="295"/>
      <c r="M139" s="295"/>
      <c r="N139" s="295"/>
      <c r="O139" s="295"/>
      <c r="P139" s="295"/>
      <c r="Q139" s="295"/>
      <c r="R139" s="295"/>
      <c r="S139" s="295"/>
      <c r="T139" s="295"/>
      <c r="U139" s="295"/>
      <c r="V139" s="295"/>
      <c r="W139" s="482" t="s">
        <v>470</v>
      </c>
      <c r="X139" s="483">
        <v>5.11E-3</v>
      </c>
      <c r="Y139" s="483">
        <v>6.9709999999999998E-3</v>
      </c>
      <c r="Z139" s="483">
        <v>9.1549999999999999E-3</v>
      </c>
      <c r="AA139" s="483">
        <v>1.7690000000000001E-2</v>
      </c>
      <c r="AB139" s="483">
        <v>2.8979999999999999E-2</v>
      </c>
      <c r="AC139" s="483">
        <v>3.5900000000000001E-2</v>
      </c>
      <c r="AD139" s="483">
        <v>4.5499999999999999E-2</v>
      </c>
      <c r="AE139" s="483">
        <v>5.9139999999999998E-2</v>
      </c>
      <c r="AF139" s="483">
        <v>7.85E-2</v>
      </c>
      <c r="AG139" s="483">
        <v>9.0700000000000003E-2</v>
      </c>
      <c r="AH139" s="484">
        <v>0.1071</v>
      </c>
    </row>
    <row r="140" spans="1:34" ht="15.75">
      <c r="A140" s="295"/>
      <c r="B140" s="295"/>
      <c r="C140" s="295"/>
      <c r="D140" s="295"/>
      <c r="E140" s="295"/>
      <c r="F140" s="295"/>
      <c r="G140" s="295"/>
      <c r="H140" s="295"/>
      <c r="I140" s="295"/>
      <c r="J140" s="295"/>
      <c r="K140" s="295"/>
      <c r="L140" s="295"/>
      <c r="M140" s="295"/>
      <c r="N140" s="295"/>
      <c r="O140" s="295"/>
      <c r="P140" s="295"/>
      <c r="Q140" s="295"/>
      <c r="R140" s="295"/>
      <c r="S140" s="295"/>
      <c r="T140" s="295"/>
      <c r="U140" s="295"/>
      <c r="V140" s="295"/>
      <c r="W140" s="482" t="s">
        <v>277</v>
      </c>
      <c r="X140" s="483">
        <v>0.3019</v>
      </c>
      <c r="Y140" s="483">
        <v>0.36680000000000001</v>
      </c>
      <c r="Z140" s="483">
        <v>0.46650000000000003</v>
      </c>
      <c r="AA140" s="483">
        <v>0.80420000000000003</v>
      </c>
      <c r="AB140" s="483">
        <v>1.3049999999999999</v>
      </c>
      <c r="AC140" s="483">
        <v>1.6220000000000001</v>
      </c>
      <c r="AD140" s="483">
        <v>2.1139999999999999</v>
      </c>
      <c r="AE140" s="483">
        <v>2.613</v>
      </c>
      <c r="AF140" s="483">
        <v>3.0979999999999999</v>
      </c>
      <c r="AG140" s="483">
        <v>3.5369999999999999</v>
      </c>
      <c r="AH140" s="484">
        <v>3.9119999999999999</v>
      </c>
    </row>
    <row r="141" spans="1:34" ht="15.75">
      <c r="A141" s="295"/>
      <c r="B141" s="295"/>
      <c r="C141" s="295"/>
      <c r="D141" s="295"/>
      <c r="E141" s="295"/>
      <c r="F141" s="295"/>
      <c r="G141" s="295"/>
      <c r="H141" s="295"/>
      <c r="I141" s="295"/>
      <c r="J141" s="295"/>
      <c r="K141" s="295"/>
      <c r="L141" s="295"/>
      <c r="M141" s="295"/>
      <c r="N141" s="295"/>
      <c r="O141" s="295"/>
      <c r="P141" s="295"/>
      <c r="Q141" s="295"/>
      <c r="R141" s="295"/>
      <c r="S141" s="295"/>
      <c r="T141" s="295"/>
      <c r="U141" s="295"/>
      <c r="V141" s="295"/>
      <c r="W141" s="482" t="s">
        <v>471</v>
      </c>
      <c r="X141" s="483">
        <v>1.284E-3</v>
      </c>
      <c r="Y141" s="483">
        <v>1.5989999999999999E-3</v>
      </c>
      <c r="Z141" s="483">
        <v>1.9970000000000001E-3</v>
      </c>
      <c r="AA141" s="483">
        <v>3.6649999999999999E-3</v>
      </c>
      <c r="AB141" s="483">
        <v>5.8630000000000002E-3</v>
      </c>
      <c r="AC141" s="483">
        <v>7.038E-3</v>
      </c>
      <c r="AD141" s="483">
        <v>9.2700000000000005E-3</v>
      </c>
      <c r="AE141" s="483">
        <v>1.251E-2</v>
      </c>
      <c r="AF141" s="483">
        <v>1.6060000000000001E-2</v>
      </c>
      <c r="AG141" s="483">
        <v>1.891E-2</v>
      </c>
      <c r="AH141" s="484">
        <v>2.2030000000000001E-2</v>
      </c>
    </row>
    <row r="142" spans="1:34" ht="15.75">
      <c r="A142" s="295"/>
      <c r="B142" s="295"/>
      <c r="C142" s="295"/>
      <c r="D142" s="295"/>
      <c r="E142" s="295"/>
      <c r="F142" s="295"/>
      <c r="G142" s="295"/>
      <c r="H142" s="295"/>
      <c r="I142" s="295"/>
      <c r="J142" s="295"/>
      <c r="K142" s="295"/>
      <c r="L142" s="295"/>
      <c r="M142" s="295"/>
      <c r="N142" s="295"/>
      <c r="O142" s="295"/>
      <c r="P142" s="295"/>
      <c r="Q142" s="295"/>
      <c r="R142" s="295"/>
      <c r="S142" s="295"/>
      <c r="T142" s="295"/>
      <c r="U142" s="295"/>
      <c r="V142" s="295"/>
      <c r="W142" s="482" t="s">
        <v>472</v>
      </c>
      <c r="X142" s="483">
        <v>8.3779999999999998E-4</v>
      </c>
      <c r="Y142" s="483">
        <v>1.0640000000000001E-3</v>
      </c>
      <c r="Z142" s="483">
        <v>1.377E-3</v>
      </c>
      <c r="AA142" s="483">
        <v>2.869E-3</v>
      </c>
      <c r="AB142" s="483">
        <v>4.9569999999999996E-3</v>
      </c>
      <c r="AC142" s="483">
        <v>6.5250000000000004E-3</v>
      </c>
      <c r="AD142" s="483">
        <v>8.7469999999999996E-3</v>
      </c>
      <c r="AE142" s="483">
        <v>1.189E-2</v>
      </c>
      <c r="AF142" s="483">
        <v>1.635E-2</v>
      </c>
      <c r="AG142" s="483">
        <v>1.9879999999999998E-2</v>
      </c>
      <c r="AH142" s="484">
        <v>2.3730000000000001E-2</v>
      </c>
    </row>
    <row r="143" spans="1:34" ht="15.75">
      <c r="A143" s="295"/>
      <c r="B143" s="295"/>
      <c r="C143" s="295"/>
      <c r="D143" s="295"/>
      <c r="E143" s="295"/>
      <c r="F143" s="295"/>
      <c r="G143" s="295"/>
      <c r="H143" s="295"/>
      <c r="I143" s="295"/>
      <c r="J143" s="295"/>
      <c r="K143" s="295"/>
      <c r="L143" s="295"/>
      <c r="M143" s="295"/>
      <c r="N143" s="295"/>
      <c r="O143" s="295"/>
      <c r="P143" s="295"/>
      <c r="Q143" s="295"/>
      <c r="R143" s="295"/>
      <c r="S143" s="295"/>
      <c r="T143" s="295"/>
      <c r="U143" s="295"/>
      <c r="V143" s="295"/>
      <c r="W143" s="482" t="s">
        <v>473</v>
      </c>
      <c r="X143" s="483">
        <v>2.4199999999999998E-3</v>
      </c>
      <c r="Y143" s="483">
        <v>3.2299999999999998E-3</v>
      </c>
      <c r="Z143" s="483">
        <v>4.3790000000000001E-3</v>
      </c>
      <c r="AA143" s="483">
        <v>8.8039999999999993E-3</v>
      </c>
      <c r="AB143" s="483">
        <v>1.634E-2</v>
      </c>
      <c r="AC143" s="483">
        <v>2.0639999999999999E-2</v>
      </c>
      <c r="AD143" s="483">
        <v>2.614E-2</v>
      </c>
      <c r="AE143" s="483">
        <v>3.3619999999999997E-2</v>
      </c>
      <c r="AF143" s="483">
        <v>4.3060000000000001E-2</v>
      </c>
      <c r="AG143" s="483">
        <v>5.0590000000000003E-2</v>
      </c>
      <c r="AH143" s="484">
        <v>5.8610000000000002E-2</v>
      </c>
    </row>
    <row r="144" spans="1:34" ht="15.75">
      <c r="A144" s="295"/>
      <c r="B144" s="295"/>
      <c r="C144" s="295"/>
      <c r="D144" s="295"/>
      <c r="E144" s="295"/>
      <c r="F144" s="295"/>
      <c r="G144" s="295"/>
      <c r="H144" s="295"/>
      <c r="I144" s="295"/>
      <c r="J144" s="295"/>
      <c r="K144" s="295"/>
      <c r="L144" s="295"/>
      <c r="M144" s="295"/>
      <c r="N144" s="295"/>
      <c r="O144" s="295"/>
      <c r="P144" s="295"/>
      <c r="R144" s="295"/>
      <c r="S144" s="295"/>
      <c r="T144" s="295"/>
      <c r="U144" s="295"/>
      <c r="V144" s="295"/>
      <c r="W144" s="482" t="s">
        <v>474</v>
      </c>
      <c r="X144" s="483">
        <v>0.17480000000000001</v>
      </c>
      <c r="Y144" s="483">
        <v>0.17380000000000001</v>
      </c>
      <c r="Z144" s="483">
        <v>0.21229999999999999</v>
      </c>
      <c r="AA144" s="483">
        <v>0.33850000000000002</v>
      </c>
      <c r="AB144" s="483">
        <v>0.50090000000000001</v>
      </c>
      <c r="AC144" s="483">
        <v>0.41370000000000001</v>
      </c>
      <c r="AD144" s="483">
        <v>0.44669999999999999</v>
      </c>
      <c r="AE144" s="483">
        <v>0.55449999999999999</v>
      </c>
      <c r="AF144" s="483">
        <v>0.64900000000000002</v>
      </c>
      <c r="AG144" s="483">
        <v>0.71199999999999997</v>
      </c>
      <c r="AH144" s="484">
        <v>0.7429</v>
      </c>
    </row>
    <row r="145" spans="1:34" ht="15.75">
      <c r="A145" s="295"/>
      <c r="B145" s="295"/>
      <c r="C145" s="295"/>
      <c r="D145" s="295"/>
      <c r="E145" s="295"/>
      <c r="F145" s="295"/>
      <c r="G145" s="295"/>
      <c r="H145" s="295"/>
      <c r="I145" s="295"/>
      <c r="J145" s="295"/>
      <c r="K145" s="295"/>
      <c r="L145" s="295"/>
      <c r="M145" s="295"/>
      <c r="N145" s="295"/>
      <c r="O145" s="295"/>
      <c r="P145" s="295"/>
      <c r="R145" s="295"/>
      <c r="S145" s="295"/>
      <c r="T145" s="295"/>
      <c r="U145" s="295"/>
      <c r="V145" s="295"/>
      <c r="W145" s="482" t="s">
        <v>475</v>
      </c>
      <c r="X145" s="483">
        <v>2.4369999999999999E-3</v>
      </c>
      <c r="Y145" s="483">
        <v>2.8270000000000001E-3</v>
      </c>
      <c r="Z145" s="483">
        <v>3.431E-3</v>
      </c>
      <c r="AA145" s="483">
        <v>6.1999999999999998E-3</v>
      </c>
      <c r="AB145" s="483">
        <v>1.0019999999999999E-2</v>
      </c>
      <c r="AC145" s="483">
        <v>1.2189999999999999E-2</v>
      </c>
      <c r="AD145" s="483">
        <v>1.519E-2</v>
      </c>
      <c r="AE145" s="483">
        <v>1.9390000000000001E-2</v>
      </c>
      <c r="AF145" s="483">
        <v>2.486E-2</v>
      </c>
      <c r="AG145" s="483">
        <v>2.8889999999999999E-2</v>
      </c>
      <c r="AH145" s="484">
        <v>3.32E-2</v>
      </c>
    </row>
    <row r="146" spans="1:34" ht="15.75">
      <c r="A146" s="295"/>
      <c r="B146" s="295"/>
      <c r="C146" s="295"/>
      <c r="D146" s="295"/>
      <c r="E146" s="295"/>
      <c r="F146" s="295"/>
      <c r="G146" s="295"/>
      <c r="H146" s="295"/>
      <c r="I146" s="295"/>
      <c r="J146" s="295"/>
      <c r="K146" s="295"/>
      <c r="L146" s="295"/>
      <c r="M146" s="295"/>
      <c r="N146" s="295"/>
      <c r="O146" s="295"/>
      <c r="P146" s="295"/>
      <c r="R146" s="295"/>
      <c r="S146" s="295"/>
      <c r="T146" s="295"/>
      <c r="U146" s="295"/>
      <c r="V146" s="295"/>
      <c r="W146" s="482" t="s">
        <v>476</v>
      </c>
      <c r="X146" s="483">
        <v>4.0930000000000003E-3</v>
      </c>
      <c r="Y146" s="483">
        <v>5.4339999999999996E-3</v>
      </c>
      <c r="Z146" s="483">
        <v>7.1399999999999996E-3</v>
      </c>
      <c r="AA146" s="483">
        <v>1.4800000000000001E-2</v>
      </c>
      <c r="AB146" s="483">
        <v>2.3990000000000001E-2</v>
      </c>
      <c r="AC146" s="483">
        <v>3.1489999999999997E-2</v>
      </c>
      <c r="AD146" s="483">
        <v>4.2369999999999998E-2</v>
      </c>
      <c r="AE146" s="483">
        <v>5.7790000000000001E-2</v>
      </c>
      <c r="AF146" s="483">
        <v>7.6109999999999997E-2</v>
      </c>
      <c r="AG146" s="483">
        <v>9.1639999999999999E-2</v>
      </c>
      <c r="AH146" s="484">
        <v>0.1087</v>
      </c>
    </row>
    <row r="147" spans="1:34" ht="15.75">
      <c r="A147" s="295"/>
      <c r="B147" s="295"/>
      <c r="C147" s="295"/>
      <c r="D147" s="295"/>
      <c r="E147" s="295"/>
      <c r="F147" s="295"/>
      <c r="G147" s="295"/>
      <c r="H147" s="295"/>
      <c r="I147" s="295"/>
      <c r="J147" s="295"/>
      <c r="K147" s="295"/>
      <c r="L147" s="295"/>
      <c r="M147" s="295"/>
      <c r="N147" s="295"/>
      <c r="O147" s="295"/>
      <c r="P147" s="295"/>
      <c r="R147" s="295"/>
      <c r="S147" s="295"/>
      <c r="T147" s="295"/>
      <c r="U147" s="295"/>
      <c r="V147" s="295"/>
      <c r="W147" s="482" t="s">
        <v>477</v>
      </c>
      <c r="X147" s="483">
        <v>0.128</v>
      </c>
      <c r="Y147" s="483">
        <v>0.1724</v>
      </c>
      <c r="Z147" s="483">
        <v>0.24099999999999999</v>
      </c>
      <c r="AA147" s="483">
        <v>0.47239999999999999</v>
      </c>
      <c r="AB147" s="483">
        <v>0.72540000000000004</v>
      </c>
      <c r="AC147" s="483">
        <v>0.20519999999999999</v>
      </c>
      <c r="AD147" s="483">
        <v>0.32919999999999999</v>
      </c>
      <c r="AE147" s="483">
        <v>0.4819</v>
      </c>
      <c r="AF147" s="483">
        <v>0.70389999999999997</v>
      </c>
      <c r="AG147" s="483">
        <v>0.92559999999999998</v>
      </c>
      <c r="AH147" s="484">
        <v>1.169</v>
      </c>
    </row>
    <row r="148" spans="1:34" ht="15.75">
      <c r="A148" s="295"/>
      <c r="B148" s="295"/>
      <c r="C148" s="295"/>
      <c r="D148" s="295"/>
      <c r="E148" s="295"/>
      <c r="F148" s="295"/>
      <c r="G148" s="295"/>
      <c r="H148" s="295"/>
      <c r="I148" s="295"/>
      <c r="J148" s="295"/>
      <c r="K148" s="295"/>
      <c r="L148" s="295"/>
      <c r="M148" s="295"/>
      <c r="N148" s="295"/>
      <c r="O148" s="295"/>
      <c r="P148" s="295"/>
      <c r="R148" s="295"/>
      <c r="S148" s="295"/>
      <c r="T148" s="295"/>
      <c r="U148" s="295"/>
      <c r="V148" s="295"/>
      <c r="W148" s="482" t="s">
        <v>478</v>
      </c>
      <c r="X148" s="483">
        <v>9.554E-2</v>
      </c>
      <c r="Y148" s="483">
        <v>0.1158</v>
      </c>
      <c r="Z148" s="483">
        <v>0.14960000000000001</v>
      </c>
      <c r="AA148" s="483">
        <v>0.23930000000000001</v>
      </c>
      <c r="AB148" s="483">
        <v>0.40670000000000001</v>
      </c>
      <c r="AC148" s="483">
        <v>0.52659999999999996</v>
      </c>
      <c r="AD148" s="483">
        <v>0.68620000000000003</v>
      </c>
      <c r="AE148" s="483">
        <v>0.90480000000000005</v>
      </c>
      <c r="AF148" s="483">
        <v>1.22</v>
      </c>
      <c r="AG148" s="483">
        <v>1.55</v>
      </c>
      <c r="AH148" s="484">
        <v>1.897</v>
      </c>
    </row>
    <row r="149" spans="1:34" ht="15.75">
      <c r="A149" s="295"/>
      <c r="B149" s="295"/>
      <c r="C149" s="295"/>
      <c r="D149" s="295"/>
      <c r="E149" s="295"/>
      <c r="F149" s="295"/>
      <c r="G149" s="295"/>
      <c r="H149" s="295"/>
      <c r="I149" s="295"/>
      <c r="J149" s="295"/>
      <c r="K149" s="295"/>
      <c r="L149" s="295"/>
      <c r="M149" s="295"/>
      <c r="N149" s="295"/>
      <c r="O149" s="295"/>
      <c r="P149" s="295"/>
      <c r="R149" s="295"/>
      <c r="S149" s="295"/>
      <c r="T149" s="295"/>
      <c r="U149" s="295"/>
      <c r="V149" s="295"/>
      <c r="W149" s="482" t="s">
        <v>479</v>
      </c>
      <c r="X149" s="483">
        <v>6.35</v>
      </c>
      <c r="Y149" s="483">
        <v>7.1980000000000004</v>
      </c>
      <c r="Z149" s="483">
        <v>7.6749999999999998</v>
      </c>
      <c r="AA149" s="483">
        <v>11.43</v>
      </c>
      <c r="AB149" s="483">
        <v>16.239999999999998</v>
      </c>
      <c r="AC149" s="483">
        <v>17.12</v>
      </c>
      <c r="AD149" s="483">
        <v>19.57</v>
      </c>
      <c r="AE149" s="483">
        <v>22.63</v>
      </c>
      <c r="AF149" s="483">
        <v>25.74</v>
      </c>
      <c r="AG149" s="483">
        <v>28.67</v>
      </c>
      <c r="AH149" s="484">
        <v>31.3</v>
      </c>
    </row>
    <row r="150" spans="1:34" ht="15.75">
      <c r="A150" s="295"/>
      <c r="B150" s="295"/>
      <c r="C150" s="295"/>
      <c r="D150" s="295"/>
      <c r="E150" s="295"/>
      <c r="F150" s="295"/>
      <c r="G150" s="295"/>
      <c r="H150" s="295"/>
      <c r="I150" s="295"/>
      <c r="J150" s="295"/>
      <c r="K150" s="295"/>
      <c r="L150" s="295"/>
      <c r="M150" s="295"/>
      <c r="N150" s="295"/>
      <c r="O150" s="295"/>
      <c r="P150" s="295"/>
      <c r="R150" s="295"/>
      <c r="S150" s="295"/>
      <c r="T150" s="295"/>
      <c r="U150" s="295"/>
      <c r="V150" s="295"/>
      <c r="W150" s="482" t="s">
        <v>480</v>
      </c>
      <c r="X150" s="483">
        <v>27.34</v>
      </c>
      <c r="Y150" s="483">
        <v>32.270000000000003</v>
      </c>
      <c r="Z150" s="483">
        <v>40.5</v>
      </c>
      <c r="AA150" s="483">
        <v>71.75</v>
      </c>
      <c r="AB150" s="483">
        <v>115.1</v>
      </c>
      <c r="AC150" s="483">
        <v>122.5</v>
      </c>
      <c r="AD150" s="483">
        <v>159.1</v>
      </c>
      <c r="AE150" s="483">
        <v>197.6</v>
      </c>
      <c r="AF150" s="483">
        <v>233.6</v>
      </c>
      <c r="AG150" s="483">
        <v>264.3</v>
      </c>
      <c r="AH150" s="484">
        <v>289</v>
      </c>
    </row>
    <row r="151" spans="1:34" ht="15.75">
      <c r="A151" s="295"/>
      <c r="B151" s="295"/>
      <c r="C151" s="295"/>
      <c r="D151" s="295"/>
      <c r="E151" s="295"/>
      <c r="F151" s="295"/>
      <c r="G151" s="295"/>
      <c r="H151" s="295"/>
      <c r="I151" s="295"/>
      <c r="J151" s="295"/>
      <c r="K151" s="295"/>
      <c r="L151" s="295"/>
      <c r="M151" s="295"/>
      <c r="N151" s="295"/>
      <c r="O151" s="295"/>
      <c r="P151" s="295"/>
      <c r="R151" s="295"/>
      <c r="S151" s="295"/>
      <c r="T151" s="295"/>
      <c r="U151" s="295"/>
      <c r="V151" s="295"/>
      <c r="W151" s="482" t="s">
        <v>481</v>
      </c>
      <c r="X151" s="483">
        <v>4.5710000000000001E-2</v>
      </c>
      <c r="Y151" s="483">
        <v>5.7169999999999999E-2</v>
      </c>
      <c r="Z151" s="483">
        <v>7.7009999999999995E-2</v>
      </c>
      <c r="AA151" s="483">
        <v>0.15310000000000001</v>
      </c>
      <c r="AB151" s="483">
        <v>0.255</v>
      </c>
      <c r="AC151" s="483">
        <v>0.317</v>
      </c>
      <c r="AD151" s="483">
        <v>0.40679999999999999</v>
      </c>
      <c r="AE151" s="483">
        <v>0.53690000000000004</v>
      </c>
      <c r="AF151" s="483">
        <v>0.70630000000000004</v>
      </c>
      <c r="AG151" s="483">
        <v>0.86860000000000004</v>
      </c>
      <c r="AH151" s="484">
        <v>1.038</v>
      </c>
    </row>
    <row r="152" spans="1:34" ht="15.75">
      <c r="A152" s="295"/>
      <c r="B152" s="295"/>
      <c r="C152" s="295"/>
      <c r="D152" s="295"/>
      <c r="E152" s="295"/>
      <c r="F152" s="295"/>
      <c r="G152" s="295"/>
      <c r="H152" s="295"/>
      <c r="I152" s="295"/>
      <c r="J152" s="295"/>
      <c r="K152" s="295"/>
      <c r="L152" s="295"/>
      <c r="M152" s="295"/>
      <c r="N152" s="295"/>
      <c r="O152" s="295"/>
      <c r="P152" s="295"/>
      <c r="R152" s="295"/>
      <c r="S152" s="295"/>
      <c r="T152" s="295"/>
      <c r="U152" s="295"/>
      <c r="V152" s="295"/>
      <c r="W152" s="482" t="s">
        <v>482</v>
      </c>
      <c r="X152" s="483">
        <v>1.7610000000000001E-2</v>
      </c>
      <c r="Y152" s="483">
        <v>2.2259999999999999E-2</v>
      </c>
      <c r="Z152" s="483">
        <v>3.024E-2</v>
      </c>
      <c r="AA152" s="483">
        <v>6.2590000000000007E-2</v>
      </c>
      <c r="AB152" s="483">
        <v>0.1011</v>
      </c>
      <c r="AC152" s="483">
        <v>0.12529999999999999</v>
      </c>
      <c r="AD152" s="483">
        <v>0.1578</v>
      </c>
      <c r="AE152" s="483">
        <v>0.2029</v>
      </c>
      <c r="AF152" s="483">
        <v>0.26400000000000001</v>
      </c>
      <c r="AG152" s="483">
        <v>0.3095</v>
      </c>
      <c r="AH152" s="484">
        <v>0.35749999999999998</v>
      </c>
    </row>
    <row r="153" spans="1:34" ht="15.75">
      <c r="A153" s="295"/>
      <c r="B153" s="295"/>
      <c r="C153" s="295"/>
      <c r="D153" s="295"/>
      <c r="E153" s="295"/>
      <c r="F153" s="295"/>
      <c r="G153" s="295"/>
      <c r="H153" s="295"/>
      <c r="I153" s="295"/>
      <c r="J153" s="295"/>
      <c r="K153" s="295"/>
      <c r="L153" s="295"/>
      <c r="M153" s="295"/>
      <c r="N153" s="295"/>
      <c r="O153" s="295"/>
      <c r="P153" s="295"/>
      <c r="R153" s="295"/>
      <c r="S153" s="295"/>
      <c r="T153" s="295"/>
      <c r="U153" s="295"/>
      <c r="V153" s="295"/>
      <c r="W153" s="482" t="s">
        <v>279</v>
      </c>
      <c r="X153" s="483">
        <v>0.14019999999999999</v>
      </c>
      <c r="Y153" s="483">
        <v>0.17580000000000001</v>
      </c>
      <c r="Z153" s="483">
        <v>0.23669999999999999</v>
      </c>
      <c r="AA153" s="483">
        <v>0.43719999999999998</v>
      </c>
      <c r="AB153" s="483">
        <v>0.75719999999999998</v>
      </c>
      <c r="AC153" s="483">
        <v>1.0389999999999999</v>
      </c>
      <c r="AD153" s="483">
        <v>1.4</v>
      </c>
      <c r="AE153" s="483">
        <v>1.7649999999999999</v>
      </c>
      <c r="AF153" s="483">
        <v>2.1059999999999999</v>
      </c>
      <c r="AG153" s="483">
        <v>2.3919999999999999</v>
      </c>
      <c r="AH153" s="484">
        <v>2.6160000000000001</v>
      </c>
    </row>
    <row r="154" spans="1:34" ht="15.75">
      <c r="A154" s="295"/>
      <c r="B154" s="295"/>
      <c r="C154" s="295"/>
      <c r="D154" s="295"/>
      <c r="E154" s="295"/>
      <c r="F154" s="295"/>
      <c r="G154" s="295"/>
      <c r="H154" s="295"/>
      <c r="I154" s="295"/>
      <c r="J154" s="295"/>
      <c r="K154" s="295"/>
      <c r="L154" s="295"/>
      <c r="M154" s="295"/>
      <c r="N154" s="295"/>
      <c r="O154" s="295"/>
      <c r="P154" s="295"/>
      <c r="R154" s="295"/>
      <c r="S154" s="295"/>
      <c r="T154" s="295"/>
      <c r="U154" s="295"/>
      <c r="V154" s="295"/>
      <c r="W154" s="482" t="s">
        <v>483</v>
      </c>
      <c r="X154" s="483">
        <v>2.8440000000000002E-3</v>
      </c>
      <c r="Y154" s="483">
        <v>3.5500000000000002E-3</v>
      </c>
      <c r="Z154" s="483">
        <v>4.5519999999999996E-3</v>
      </c>
      <c r="AA154" s="483">
        <v>9.6460000000000001E-3</v>
      </c>
      <c r="AB154" s="483">
        <v>1.5789999999999998E-2</v>
      </c>
      <c r="AC154" s="483">
        <v>1.967E-2</v>
      </c>
      <c r="AD154" s="483">
        <v>2.503E-2</v>
      </c>
      <c r="AE154" s="483">
        <v>3.2530000000000003E-2</v>
      </c>
      <c r="AF154" s="483">
        <v>4.3439999999999999E-2</v>
      </c>
      <c r="AG154" s="483">
        <v>5.2049999999999999E-2</v>
      </c>
      <c r="AH154" s="484">
        <v>6.1620000000000001E-2</v>
      </c>
    </row>
    <row r="155" spans="1:34" ht="15.75">
      <c r="R155" s="295"/>
      <c r="S155" s="295"/>
      <c r="T155" s="295"/>
      <c r="U155" s="295"/>
      <c r="V155" s="295"/>
      <c r="W155" s="485" t="s">
        <v>484</v>
      </c>
      <c r="X155" s="486">
        <v>1.7420000000000001E-3</v>
      </c>
      <c r="Y155" s="486">
        <v>2.003E-3</v>
      </c>
      <c r="Z155" s="486">
        <v>2.6819999999999999E-3</v>
      </c>
      <c r="AA155" s="486">
        <v>9.0980000000000002E-3</v>
      </c>
      <c r="AB155" s="486">
        <v>1.7229999999999999E-2</v>
      </c>
      <c r="AC155" s="486">
        <v>2.205E-2</v>
      </c>
      <c r="AD155" s="486">
        <v>2.7529999999999999E-2</v>
      </c>
      <c r="AE155" s="486">
        <v>3.6170000000000001E-2</v>
      </c>
      <c r="AF155" s="486">
        <v>4.7509999999999997E-2</v>
      </c>
      <c r="AG155" s="486">
        <v>5.7799999999999997E-2</v>
      </c>
      <c r="AH155" s="487">
        <v>6.9029999999999994E-2</v>
      </c>
    </row>
    <row r="156" spans="1:34" ht="15.75">
      <c r="R156" s="295"/>
      <c r="S156" s="295"/>
      <c r="T156" s="295"/>
      <c r="U156" s="295"/>
      <c r="V156" s="295"/>
      <c r="W156" s="488" t="s">
        <v>485</v>
      </c>
      <c r="X156" s="488" t="s">
        <v>486</v>
      </c>
    </row>
    <row r="157" spans="1:34" ht="15.75">
      <c r="R157" s="295"/>
      <c r="S157" s="295"/>
      <c r="T157" s="295"/>
      <c r="U157" s="295"/>
      <c r="V157" s="295"/>
      <c r="W157" s="488" t="s">
        <v>487</v>
      </c>
      <c r="X157" s="488" t="s">
        <v>488</v>
      </c>
    </row>
  </sheetData>
  <mergeCells count="8">
    <mergeCell ref="P6:U6"/>
    <mergeCell ref="B6:N6"/>
    <mergeCell ref="B17:N17"/>
    <mergeCell ref="C34:M34"/>
    <mergeCell ref="B1:N1"/>
    <mergeCell ref="B19:B25"/>
    <mergeCell ref="B26:B32"/>
    <mergeCell ref="B8:B15"/>
  </mergeCells>
  <hyperlinks>
    <hyperlink ref="G5" r:id="rId1" display="Market: Online Food Delivery - Grocery Delivery, Region: Worldwide, Currency: USD" xr:uid="{866C3997-6629-7A4E-BA43-61AC66A27209}"/>
  </hyperlinks>
  <pageMargins left="0.7" right="0.7" top="0.75" bottom="0.75" header="0.3" footer="0.3"/>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ED96A-CD89-460D-BFEF-0966E5E0B363}">
  <sheetPr codeName="Sheet9"/>
  <dimension ref="A2:O107"/>
  <sheetViews>
    <sheetView topLeftCell="A29" zoomScale="85" zoomScaleNormal="85" workbookViewId="0">
      <selection activeCell="D62" sqref="D62"/>
    </sheetView>
  </sheetViews>
  <sheetFormatPr defaultColWidth="8.7109375" defaultRowHeight="15"/>
  <cols>
    <col min="1" max="1" width="32.28515625" bestFit="1" customWidth="1"/>
    <col min="2" max="2" width="31.7109375" bestFit="1" customWidth="1"/>
    <col min="3" max="3" width="23.42578125" bestFit="1" customWidth="1"/>
    <col min="4" max="4" width="37.7109375" bestFit="1" customWidth="1"/>
    <col min="5" max="5" width="37.140625" bestFit="1" customWidth="1"/>
    <col min="6" max="6" width="20.140625" bestFit="1" customWidth="1"/>
    <col min="7" max="7" width="19.42578125" bestFit="1" customWidth="1"/>
    <col min="8" max="10" width="11.7109375" bestFit="1" customWidth="1"/>
    <col min="11" max="15" width="11.140625" bestFit="1" customWidth="1"/>
    <col min="16" max="16" width="12.140625" bestFit="1" customWidth="1"/>
    <col min="17" max="17" width="10" bestFit="1" customWidth="1"/>
    <col min="18" max="42" width="8.7109375" bestFit="1" customWidth="1"/>
  </cols>
  <sheetData>
    <row r="2" spans="1:15">
      <c r="A2" s="237" t="s">
        <v>363</v>
      </c>
      <c r="B2" s="237" t="s">
        <v>263</v>
      </c>
      <c r="C2" s="237" t="s">
        <v>264</v>
      </c>
      <c r="D2" s="237" t="s">
        <v>265</v>
      </c>
      <c r="E2" s="237" t="s">
        <v>266</v>
      </c>
      <c r="F2" s="237" t="s">
        <v>267</v>
      </c>
      <c r="G2" s="237">
        <v>2019</v>
      </c>
      <c r="H2" s="237">
        <v>2020</v>
      </c>
      <c r="I2" s="237">
        <v>2021</v>
      </c>
      <c r="J2" s="237">
        <v>2022</v>
      </c>
      <c r="K2" s="237">
        <v>2023</v>
      </c>
      <c r="L2" s="237">
        <v>2024</v>
      </c>
      <c r="M2" s="237">
        <v>2025</v>
      </c>
      <c r="N2" s="237">
        <v>2026</v>
      </c>
      <c r="O2" s="237">
        <v>2027</v>
      </c>
    </row>
    <row r="3" spans="1:15">
      <c r="A3" t="s">
        <v>268</v>
      </c>
      <c r="B3" t="s">
        <v>489</v>
      </c>
      <c r="C3" t="s">
        <v>270</v>
      </c>
      <c r="D3" t="s">
        <v>271</v>
      </c>
      <c r="E3" t="s">
        <v>490</v>
      </c>
      <c r="F3" t="s">
        <v>273</v>
      </c>
      <c r="G3" s="334">
        <v>531726.1</v>
      </c>
      <c r="H3" s="334">
        <v>540766</v>
      </c>
      <c r="I3" s="334">
        <v>564855.80000000005</v>
      </c>
      <c r="J3" s="334">
        <v>580425.5</v>
      </c>
      <c r="K3" s="334">
        <v>626603.19999999995</v>
      </c>
      <c r="L3" s="334">
        <v>685999.5</v>
      </c>
      <c r="M3" s="334">
        <v>748653.1</v>
      </c>
      <c r="N3" s="334">
        <v>811377.3</v>
      </c>
      <c r="O3" s="334">
        <v>879232.2</v>
      </c>
    </row>
    <row r="4" spans="1:15">
      <c r="A4" t="s">
        <v>274</v>
      </c>
      <c r="B4" t="s">
        <v>489</v>
      </c>
      <c r="C4" t="s">
        <v>270</v>
      </c>
      <c r="D4" t="s">
        <v>271</v>
      </c>
      <c r="E4" t="s">
        <v>490</v>
      </c>
      <c r="F4" t="s">
        <v>273</v>
      </c>
      <c r="G4" s="334">
        <v>533450.4</v>
      </c>
      <c r="H4" s="334">
        <v>490748.8</v>
      </c>
      <c r="I4" s="334">
        <v>526032.4</v>
      </c>
      <c r="J4" s="334">
        <v>552888.80000000005</v>
      </c>
      <c r="K4" s="334">
        <v>598497.4</v>
      </c>
      <c r="L4" s="334">
        <v>650467.30000000005</v>
      </c>
      <c r="M4" s="334">
        <v>709383.5</v>
      </c>
      <c r="N4" s="334">
        <v>778002</v>
      </c>
      <c r="O4" s="334">
        <v>857567.2</v>
      </c>
    </row>
    <row r="5" spans="1:15">
      <c r="A5" t="s">
        <v>275</v>
      </c>
      <c r="B5" t="s">
        <v>489</v>
      </c>
      <c r="C5" t="s">
        <v>270</v>
      </c>
      <c r="D5" t="s">
        <v>271</v>
      </c>
      <c r="E5" t="s">
        <v>490</v>
      </c>
      <c r="F5" t="s">
        <v>273</v>
      </c>
      <c r="G5" s="334">
        <v>265098.5</v>
      </c>
      <c r="H5" s="334">
        <v>252823.9</v>
      </c>
      <c r="I5" s="334">
        <v>277080.7</v>
      </c>
      <c r="J5" s="334">
        <v>297668.5</v>
      </c>
      <c r="K5" s="334">
        <v>325175.90000000002</v>
      </c>
      <c r="L5" s="334">
        <v>351150</v>
      </c>
      <c r="M5" s="334">
        <v>377046.8</v>
      </c>
      <c r="N5" s="334">
        <v>406544.1</v>
      </c>
      <c r="O5" s="334">
        <v>439809.4</v>
      </c>
    </row>
    <row r="6" spans="1:15">
      <c r="A6" t="s">
        <v>276</v>
      </c>
      <c r="B6" t="s">
        <v>489</v>
      </c>
      <c r="C6" t="s">
        <v>270</v>
      </c>
      <c r="D6" t="s">
        <v>271</v>
      </c>
      <c r="E6" t="s">
        <v>490</v>
      </c>
      <c r="F6" t="s">
        <v>273</v>
      </c>
      <c r="G6" s="334">
        <v>51629.599999999999</v>
      </c>
      <c r="H6" s="334">
        <v>39138.199999999997</v>
      </c>
      <c r="I6" s="334">
        <v>37893.1</v>
      </c>
      <c r="J6" s="334">
        <v>38366.400000000001</v>
      </c>
      <c r="K6" s="334">
        <v>41247.599999999999</v>
      </c>
      <c r="L6" s="334">
        <v>43308</v>
      </c>
      <c r="M6" s="334">
        <v>45537.7</v>
      </c>
      <c r="N6" s="334">
        <v>47068.2</v>
      </c>
      <c r="O6" s="334">
        <v>48724.4</v>
      </c>
    </row>
    <row r="7" spans="1:15">
      <c r="A7" t="s">
        <v>277</v>
      </c>
      <c r="B7" t="s">
        <v>489</v>
      </c>
      <c r="C7" t="s">
        <v>270</v>
      </c>
      <c r="D7" t="s">
        <v>271</v>
      </c>
      <c r="E7" t="s">
        <v>490</v>
      </c>
      <c r="F7" t="s">
        <v>273</v>
      </c>
      <c r="G7" s="334">
        <v>217280.8</v>
      </c>
      <c r="H7" s="334">
        <v>222295.4</v>
      </c>
      <c r="I7" s="334">
        <v>233947.4</v>
      </c>
      <c r="J7" s="334">
        <v>238969.9</v>
      </c>
      <c r="K7" s="334">
        <v>251480.5</v>
      </c>
      <c r="L7" s="334">
        <v>261886.3</v>
      </c>
      <c r="M7" s="334">
        <v>270008.7</v>
      </c>
      <c r="N7" s="334">
        <v>278358.7</v>
      </c>
      <c r="O7" s="334">
        <v>287233.59999999998</v>
      </c>
    </row>
    <row r="8" spans="1:15">
      <c r="A8" t="s">
        <v>279</v>
      </c>
      <c r="B8" t="s">
        <v>489</v>
      </c>
      <c r="C8" t="s">
        <v>270</v>
      </c>
      <c r="D8" t="s">
        <v>271</v>
      </c>
      <c r="E8" t="s">
        <v>490</v>
      </c>
      <c r="F8" t="s">
        <v>273</v>
      </c>
      <c r="G8" s="334">
        <v>172566.1</v>
      </c>
      <c r="H8" s="334">
        <v>183439.4</v>
      </c>
      <c r="I8" s="334">
        <v>182806.1</v>
      </c>
      <c r="J8" s="334">
        <v>186870.9</v>
      </c>
      <c r="K8" s="334">
        <v>199759.4</v>
      </c>
      <c r="L8" s="334">
        <v>212322.8</v>
      </c>
      <c r="M8" s="334">
        <v>226931.6</v>
      </c>
      <c r="N8" s="334">
        <v>242916.1</v>
      </c>
      <c r="O8" s="334">
        <v>260975.3</v>
      </c>
    </row>
    <row r="10" spans="1:15">
      <c r="A10" s="237" t="s">
        <v>363</v>
      </c>
      <c r="B10" s="237" t="s">
        <v>263</v>
      </c>
      <c r="C10" s="237" t="s">
        <v>264</v>
      </c>
      <c r="D10" s="237" t="s">
        <v>265</v>
      </c>
      <c r="E10" s="237" t="s">
        <v>266</v>
      </c>
      <c r="F10" s="237" t="s">
        <v>267</v>
      </c>
      <c r="G10" s="237">
        <v>2019</v>
      </c>
      <c r="H10" s="237">
        <v>2020</v>
      </c>
      <c r="I10" s="237">
        <v>2021</v>
      </c>
      <c r="J10" s="237">
        <v>2022</v>
      </c>
      <c r="K10" s="237">
        <v>2023</v>
      </c>
      <c r="L10" s="237">
        <v>2024</v>
      </c>
      <c r="M10" s="237">
        <v>2025</v>
      </c>
      <c r="N10" s="237">
        <v>2026</v>
      </c>
      <c r="O10" s="237">
        <v>2027</v>
      </c>
    </row>
    <row r="11" spans="1:15">
      <c r="A11" t="s">
        <v>268</v>
      </c>
      <c r="B11" t="s">
        <v>491</v>
      </c>
      <c r="C11" t="s">
        <v>270</v>
      </c>
      <c r="D11" t="s">
        <v>271</v>
      </c>
      <c r="E11" t="s">
        <v>490</v>
      </c>
      <c r="F11" t="s">
        <v>273</v>
      </c>
      <c r="G11" s="334">
        <v>5430.4</v>
      </c>
      <c r="H11" s="334">
        <v>7824.4</v>
      </c>
      <c r="I11" s="334">
        <v>14540.8</v>
      </c>
      <c r="J11" s="334">
        <v>21364.5</v>
      </c>
      <c r="K11" s="334">
        <v>28395.4</v>
      </c>
      <c r="L11" s="334">
        <v>34398.199999999997</v>
      </c>
      <c r="M11" s="334">
        <v>39133.599999999999</v>
      </c>
      <c r="N11" s="334">
        <v>43611</v>
      </c>
      <c r="O11" s="334">
        <v>48235.8</v>
      </c>
    </row>
    <row r="12" spans="1:15">
      <c r="A12" t="s">
        <v>274</v>
      </c>
      <c r="B12" t="s">
        <v>491</v>
      </c>
      <c r="C12" t="s">
        <v>270</v>
      </c>
      <c r="D12" t="s">
        <v>271</v>
      </c>
      <c r="E12" t="s">
        <v>490</v>
      </c>
      <c r="F12" t="s">
        <v>273</v>
      </c>
      <c r="G12" s="334">
        <v>402456</v>
      </c>
      <c r="H12" s="334">
        <v>369263.1</v>
      </c>
      <c r="I12" s="334">
        <v>403070.8</v>
      </c>
      <c r="J12" s="334">
        <v>428123.2</v>
      </c>
      <c r="K12" s="334">
        <v>468048.6</v>
      </c>
      <c r="L12" s="334">
        <v>513797.2</v>
      </c>
      <c r="M12" s="334">
        <v>567108.69999999995</v>
      </c>
      <c r="N12" s="334">
        <v>629441.6</v>
      </c>
      <c r="O12" s="334">
        <v>701822.8</v>
      </c>
    </row>
    <row r="13" spans="1:15">
      <c r="A13" t="s">
        <v>275</v>
      </c>
      <c r="B13" t="s">
        <v>491</v>
      </c>
      <c r="C13" t="s">
        <v>270</v>
      </c>
      <c r="D13" t="s">
        <v>271</v>
      </c>
      <c r="E13" t="s">
        <v>490</v>
      </c>
      <c r="F13" t="s">
        <v>273</v>
      </c>
      <c r="G13" s="334">
        <v>60053</v>
      </c>
      <c r="H13" s="334">
        <v>58282.7</v>
      </c>
      <c r="I13" s="334">
        <v>66366</v>
      </c>
      <c r="J13" s="334">
        <v>73618.600000000006</v>
      </c>
      <c r="K13" s="334">
        <v>79555</v>
      </c>
      <c r="L13" s="334">
        <v>84365.5</v>
      </c>
      <c r="M13" s="334">
        <v>86574.2</v>
      </c>
      <c r="N13" s="334">
        <v>88389.6</v>
      </c>
      <c r="O13" s="334">
        <v>89941.2</v>
      </c>
    </row>
    <row r="14" spans="1:15">
      <c r="A14" t="s">
        <v>276</v>
      </c>
      <c r="B14" t="s">
        <v>491</v>
      </c>
      <c r="C14" t="s">
        <v>270</v>
      </c>
      <c r="D14" t="s">
        <v>271</v>
      </c>
      <c r="E14" t="s">
        <v>490</v>
      </c>
      <c r="F14" t="s">
        <v>273</v>
      </c>
      <c r="G14" s="334">
        <v>14973.3</v>
      </c>
      <c r="H14" s="334">
        <v>13138.2</v>
      </c>
      <c r="I14" s="334">
        <v>13893.2</v>
      </c>
      <c r="J14" s="334">
        <v>14909.7</v>
      </c>
      <c r="K14" s="334">
        <v>16000.4</v>
      </c>
      <c r="L14" s="334">
        <v>16904.400000000001</v>
      </c>
      <c r="M14" s="334">
        <v>17730.900000000001</v>
      </c>
      <c r="N14" s="334">
        <v>18488.400000000001</v>
      </c>
      <c r="O14" s="334">
        <v>19220.400000000001</v>
      </c>
    </row>
    <row r="15" spans="1:15">
      <c r="A15" t="s">
        <v>277</v>
      </c>
      <c r="B15" t="s">
        <v>491</v>
      </c>
      <c r="C15" t="s">
        <v>270</v>
      </c>
      <c r="D15" t="s">
        <v>271</v>
      </c>
      <c r="E15" t="s">
        <v>490</v>
      </c>
      <c r="F15" t="s">
        <v>273</v>
      </c>
      <c r="G15" s="334">
        <v>61246.8</v>
      </c>
      <c r="H15" s="334">
        <v>60469.8</v>
      </c>
      <c r="I15" s="334">
        <v>65001.1</v>
      </c>
      <c r="J15" s="334">
        <v>69471.7</v>
      </c>
      <c r="K15" s="334">
        <v>73833</v>
      </c>
      <c r="L15" s="334">
        <v>77454</v>
      </c>
      <c r="M15" s="334">
        <v>80218.5</v>
      </c>
      <c r="N15" s="334">
        <v>82996.100000000006</v>
      </c>
      <c r="O15" s="334">
        <v>85953.4</v>
      </c>
    </row>
    <row r="16" spans="1:15">
      <c r="A16" t="s">
        <v>279</v>
      </c>
      <c r="B16" t="s">
        <v>491</v>
      </c>
      <c r="C16" t="s">
        <v>270</v>
      </c>
      <c r="D16" t="s">
        <v>271</v>
      </c>
      <c r="E16" t="s">
        <v>490</v>
      </c>
      <c r="F16" t="s">
        <v>273</v>
      </c>
      <c r="G16" s="334">
        <v>30003.7</v>
      </c>
      <c r="H16" s="334">
        <v>31800.5</v>
      </c>
      <c r="I16" s="334">
        <v>33145.5</v>
      </c>
      <c r="J16" s="334">
        <v>34865.1</v>
      </c>
      <c r="K16" s="334">
        <v>38398.5</v>
      </c>
      <c r="L16" s="334">
        <v>41941.800000000003</v>
      </c>
      <c r="M16" s="334">
        <v>45976.9</v>
      </c>
      <c r="N16" s="334">
        <v>50430.1</v>
      </c>
      <c r="O16" s="334">
        <v>54925</v>
      </c>
    </row>
    <row r="18" spans="1:15">
      <c r="A18" s="237" t="s">
        <v>363</v>
      </c>
      <c r="B18" s="237" t="s">
        <v>263</v>
      </c>
      <c r="C18" s="237" t="s">
        <v>264</v>
      </c>
      <c r="D18" s="237" t="s">
        <v>265</v>
      </c>
      <c r="E18" s="237" t="s">
        <v>266</v>
      </c>
      <c r="F18" s="237" t="s">
        <v>267</v>
      </c>
      <c r="G18" s="237">
        <v>2019</v>
      </c>
      <c r="H18" s="237">
        <v>2020</v>
      </c>
      <c r="I18" s="237">
        <v>2021</v>
      </c>
      <c r="J18" s="237">
        <v>2022</v>
      </c>
      <c r="K18" s="237">
        <v>2023</v>
      </c>
      <c r="L18" s="237">
        <v>2024</v>
      </c>
      <c r="M18" s="237">
        <v>2025</v>
      </c>
      <c r="N18" s="237">
        <v>2026</v>
      </c>
      <c r="O18" s="237">
        <v>2027</v>
      </c>
    </row>
    <row r="19" spans="1:15">
      <c r="A19" t="s">
        <v>268</v>
      </c>
      <c r="B19" t="s">
        <v>492</v>
      </c>
      <c r="C19" t="s">
        <v>270</v>
      </c>
      <c r="D19" t="s">
        <v>271</v>
      </c>
      <c r="E19" t="s">
        <v>490</v>
      </c>
      <c r="F19" t="s">
        <v>273</v>
      </c>
      <c r="G19" s="334">
        <v>574700.6</v>
      </c>
      <c r="H19" s="334">
        <v>570533.30000000005</v>
      </c>
      <c r="I19" s="334">
        <v>591929</v>
      </c>
      <c r="J19" s="334">
        <v>617116.19999999995</v>
      </c>
      <c r="K19" s="334">
        <v>666959.80000000005</v>
      </c>
      <c r="L19" s="334">
        <v>727785.2</v>
      </c>
      <c r="M19" s="334">
        <v>792592.6</v>
      </c>
      <c r="N19" s="334">
        <v>857502.6</v>
      </c>
      <c r="O19" s="334">
        <v>927463.7</v>
      </c>
    </row>
    <row r="20" spans="1:15">
      <c r="A20" t="s">
        <v>274</v>
      </c>
      <c r="B20" t="s">
        <v>492</v>
      </c>
      <c r="C20" t="s">
        <v>270</v>
      </c>
      <c r="D20" t="s">
        <v>271</v>
      </c>
      <c r="E20" t="s">
        <v>490</v>
      </c>
      <c r="F20" t="s">
        <v>273</v>
      </c>
      <c r="G20" s="334">
        <v>187176.1</v>
      </c>
      <c r="H20" s="334">
        <v>175583.5</v>
      </c>
      <c r="I20" s="334">
        <v>185086.4</v>
      </c>
      <c r="J20" s="334">
        <v>197811.4</v>
      </c>
      <c r="K20" s="334">
        <v>212352.5</v>
      </c>
      <c r="L20" s="334">
        <v>228080.1</v>
      </c>
      <c r="M20" s="334">
        <v>243291.8</v>
      </c>
      <c r="N20" s="334">
        <v>259195.5</v>
      </c>
      <c r="O20" s="334">
        <v>275826</v>
      </c>
    </row>
    <row r="21" spans="1:15">
      <c r="A21" t="s">
        <v>275</v>
      </c>
      <c r="B21" t="s">
        <v>492</v>
      </c>
      <c r="C21" t="s">
        <v>270</v>
      </c>
      <c r="D21" t="s">
        <v>271</v>
      </c>
      <c r="E21" t="s">
        <v>490</v>
      </c>
      <c r="F21" t="s">
        <v>273</v>
      </c>
      <c r="G21" s="334">
        <v>244975.2</v>
      </c>
      <c r="H21" s="334">
        <v>230761.9</v>
      </c>
      <c r="I21" s="334">
        <v>250013.9</v>
      </c>
      <c r="J21" s="334">
        <v>266522.90000000002</v>
      </c>
      <c r="K21" s="334">
        <v>293410</v>
      </c>
      <c r="L21" s="334">
        <v>320725.09999999998</v>
      </c>
      <c r="M21" s="334">
        <v>349567.5</v>
      </c>
      <c r="N21" s="334">
        <v>381143.9</v>
      </c>
      <c r="O21" s="334">
        <v>415637.5</v>
      </c>
    </row>
    <row r="22" spans="1:15">
      <c r="A22" t="s">
        <v>276</v>
      </c>
      <c r="B22" t="s">
        <v>492</v>
      </c>
      <c r="C22" t="s">
        <v>270</v>
      </c>
      <c r="D22" t="s">
        <v>271</v>
      </c>
      <c r="E22" t="s">
        <v>490</v>
      </c>
      <c r="F22" t="s">
        <v>273</v>
      </c>
      <c r="G22" s="334">
        <v>115245.4</v>
      </c>
      <c r="H22" s="334">
        <v>96124.5</v>
      </c>
      <c r="I22" s="334">
        <v>102772.9</v>
      </c>
      <c r="J22" s="334">
        <v>107670.7</v>
      </c>
      <c r="K22" s="334">
        <v>115252.7</v>
      </c>
      <c r="L22" s="334">
        <v>120928.6</v>
      </c>
      <c r="M22" s="334">
        <v>126427.5</v>
      </c>
      <c r="N22" s="334">
        <v>131015</v>
      </c>
      <c r="O22" s="334">
        <v>135752.79999999999</v>
      </c>
    </row>
    <row r="23" spans="1:15">
      <c r="A23" t="s">
        <v>277</v>
      </c>
      <c r="B23" t="s">
        <v>492</v>
      </c>
      <c r="C23" t="s">
        <v>270</v>
      </c>
      <c r="D23" t="s">
        <v>271</v>
      </c>
      <c r="E23" t="s">
        <v>490</v>
      </c>
      <c r="F23" t="s">
        <v>273</v>
      </c>
      <c r="G23" s="334">
        <v>225036.1</v>
      </c>
      <c r="H23" s="334">
        <v>222045.7</v>
      </c>
      <c r="I23" s="334">
        <v>225340.5</v>
      </c>
      <c r="J23" s="334">
        <v>233417.2</v>
      </c>
      <c r="K23" s="334">
        <v>246853.9</v>
      </c>
      <c r="L23" s="334">
        <v>258645.6</v>
      </c>
      <c r="M23" s="334">
        <v>269772.7</v>
      </c>
      <c r="N23" s="334">
        <v>281325.5</v>
      </c>
      <c r="O23" s="334">
        <v>293322.5</v>
      </c>
    </row>
    <row r="24" spans="1:15">
      <c r="A24" t="s">
        <v>279</v>
      </c>
      <c r="B24" t="s">
        <v>492</v>
      </c>
      <c r="C24" t="s">
        <v>270</v>
      </c>
      <c r="D24" t="s">
        <v>271</v>
      </c>
      <c r="E24" t="s">
        <v>490</v>
      </c>
      <c r="F24" t="s">
        <v>273</v>
      </c>
      <c r="G24" s="334">
        <v>171074.7</v>
      </c>
      <c r="H24" s="334">
        <v>177358.6</v>
      </c>
      <c r="I24" s="334">
        <v>183219.9</v>
      </c>
      <c r="J24" s="334">
        <v>193115.5</v>
      </c>
      <c r="K24" s="334">
        <v>212816.3</v>
      </c>
      <c r="L24" s="334">
        <v>233951</v>
      </c>
      <c r="M24" s="334">
        <v>257017.9</v>
      </c>
      <c r="N24" s="334">
        <v>281793.2</v>
      </c>
      <c r="O24" s="334">
        <v>309042.2</v>
      </c>
    </row>
    <row r="26" spans="1:15">
      <c r="A26" s="237" t="s">
        <v>363</v>
      </c>
      <c r="B26" s="237" t="s">
        <v>263</v>
      </c>
      <c r="C26" s="237" t="s">
        <v>264</v>
      </c>
      <c r="D26" s="237" t="s">
        <v>265</v>
      </c>
      <c r="E26" s="237" t="s">
        <v>266</v>
      </c>
      <c r="F26" s="237" t="s">
        <v>267</v>
      </c>
      <c r="G26" s="237">
        <v>2019</v>
      </c>
      <c r="H26" s="237">
        <v>2020</v>
      </c>
      <c r="I26" s="237">
        <v>2021</v>
      </c>
      <c r="J26" s="237">
        <v>2022</v>
      </c>
      <c r="K26" s="237">
        <v>2023</v>
      </c>
      <c r="L26" s="237">
        <v>2024</v>
      </c>
      <c r="M26" s="237">
        <v>2025</v>
      </c>
      <c r="N26" s="237">
        <v>2026</v>
      </c>
      <c r="O26" s="237">
        <v>2027</v>
      </c>
    </row>
    <row r="27" spans="1:15">
      <c r="A27" t="s">
        <v>268</v>
      </c>
      <c r="B27" t="s">
        <v>493</v>
      </c>
      <c r="C27" t="s">
        <v>270</v>
      </c>
      <c r="D27" t="s">
        <v>271</v>
      </c>
      <c r="E27" t="s">
        <v>490</v>
      </c>
      <c r="F27" t="s">
        <v>273</v>
      </c>
      <c r="G27" s="334">
        <v>769179.2</v>
      </c>
      <c r="H27" s="334">
        <v>753580</v>
      </c>
      <c r="I27" s="334">
        <v>800407.8</v>
      </c>
      <c r="J27" s="334">
        <v>830391.4</v>
      </c>
      <c r="K27" s="334">
        <v>895971.5</v>
      </c>
      <c r="L27" s="334">
        <v>971276.80000000005</v>
      </c>
      <c r="M27" s="334">
        <v>1048591.7</v>
      </c>
      <c r="N27" s="334">
        <v>1125271</v>
      </c>
      <c r="O27" s="334">
        <v>1207087.6000000001</v>
      </c>
    </row>
    <row r="28" spans="1:15">
      <c r="A28" t="s">
        <v>274</v>
      </c>
      <c r="B28" t="s">
        <v>493</v>
      </c>
      <c r="C28" t="s">
        <v>270</v>
      </c>
      <c r="D28" t="s">
        <v>271</v>
      </c>
      <c r="E28" t="s">
        <v>490</v>
      </c>
      <c r="F28" t="s">
        <v>273</v>
      </c>
      <c r="G28" s="334">
        <v>688028.6</v>
      </c>
      <c r="H28" s="334">
        <v>631640.5</v>
      </c>
      <c r="I28" s="334">
        <v>677020</v>
      </c>
      <c r="J28" s="334">
        <v>714189.3</v>
      </c>
      <c r="K28" s="334">
        <v>772662.4</v>
      </c>
      <c r="L28" s="334">
        <v>838162.9</v>
      </c>
      <c r="M28" s="334">
        <v>910762.1</v>
      </c>
      <c r="N28" s="334">
        <v>993048.1</v>
      </c>
      <c r="O28" s="334">
        <v>1086069.8999999999</v>
      </c>
    </row>
    <row r="29" spans="1:15">
      <c r="A29" t="s">
        <v>275</v>
      </c>
      <c r="B29" t="s">
        <v>493</v>
      </c>
      <c r="C29" t="s">
        <v>270</v>
      </c>
      <c r="D29" t="s">
        <v>271</v>
      </c>
      <c r="E29" t="s">
        <v>490</v>
      </c>
      <c r="F29" t="s">
        <v>273</v>
      </c>
      <c r="G29" s="334">
        <v>423361</v>
      </c>
      <c r="H29" s="334">
        <v>407880.9</v>
      </c>
      <c r="I29" s="334">
        <v>438902.6</v>
      </c>
      <c r="J29" s="334">
        <v>468176.6</v>
      </c>
      <c r="K29" s="334">
        <v>505856.1</v>
      </c>
      <c r="L29" s="334">
        <v>541336.4</v>
      </c>
      <c r="M29" s="334">
        <v>575344.30000000005</v>
      </c>
      <c r="N29" s="334">
        <v>610131.30000000005</v>
      </c>
      <c r="O29" s="334">
        <v>647591.69999999995</v>
      </c>
    </row>
    <row r="30" spans="1:15">
      <c r="A30" t="s">
        <v>276</v>
      </c>
      <c r="B30" t="s">
        <v>493</v>
      </c>
      <c r="C30" t="s">
        <v>270</v>
      </c>
      <c r="D30" t="s">
        <v>271</v>
      </c>
      <c r="E30" t="s">
        <v>490</v>
      </c>
      <c r="F30" t="s">
        <v>273</v>
      </c>
      <c r="G30" s="334">
        <v>151013.79999999999</v>
      </c>
      <c r="H30" s="334">
        <v>119361.5</v>
      </c>
      <c r="I30" s="334">
        <v>126314.7</v>
      </c>
      <c r="J30" s="334">
        <v>130654.9</v>
      </c>
      <c r="K30" s="334">
        <v>137344.29999999999</v>
      </c>
      <c r="L30" s="334">
        <v>142718.79999999999</v>
      </c>
      <c r="M30" s="334">
        <v>147977</v>
      </c>
      <c r="N30" s="334">
        <v>152160.29999999999</v>
      </c>
      <c r="O30" s="334">
        <v>156821.4</v>
      </c>
    </row>
    <row r="31" spans="1:15">
      <c r="A31" t="s">
        <v>277</v>
      </c>
      <c r="B31" t="s">
        <v>493</v>
      </c>
      <c r="C31" t="s">
        <v>270</v>
      </c>
      <c r="D31" t="s">
        <v>271</v>
      </c>
      <c r="E31" t="s">
        <v>490</v>
      </c>
      <c r="F31" t="s">
        <v>273</v>
      </c>
      <c r="G31" s="334">
        <v>404964.9</v>
      </c>
      <c r="H31" s="334">
        <v>385116.2</v>
      </c>
      <c r="I31" s="334">
        <v>389301.5</v>
      </c>
      <c r="J31" s="334">
        <v>399952.8</v>
      </c>
      <c r="K31" s="334">
        <v>413869.5</v>
      </c>
      <c r="L31" s="334">
        <v>426138.2</v>
      </c>
      <c r="M31" s="334">
        <v>437346.6</v>
      </c>
      <c r="N31" s="334">
        <v>449077.3</v>
      </c>
      <c r="O31" s="334">
        <v>461496.3</v>
      </c>
    </row>
    <row r="32" spans="1:15">
      <c r="A32" t="s">
        <v>279</v>
      </c>
      <c r="B32" t="s">
        <v>493</v>
      </c>
      <c r="C32" t="s">
        <v>270</v>
      </c>
      <c r="D32" t="s">
        <v>271</v>
      </c>
      <c r="E32" t="s">
        <v>490</v>
      </c>
      <c r="F32" t="s">
        <v>273</v>
      </c>
      <c r="G32" s="334">
        <v>311506.59999999998</v>
      </c>
      <c r="H32" s="334">
        <v>319738</v>
      </c>
      <c r="I32" s="334">
        <v>327997.7</v>
      </c>
      <c r="J32" s="334">
        <v>339826.9</v>
      </c>
      <c r="K32" s="334">
        <v>362336.1</v>
      </c>
      <c r="L32" s="334">
        <v>384880.6</v>
      </c>
      <c r="M32" s="334">
        <v>409706.4</v>
      </c>
      <c r="N32" s="334">
        <v>436746.3</v>
      </c>
      <c r="O32" s="334">
        <v>466347.7</v>
      </c>
    </row>
    <row r="33" spans="1:15" ht="15.75" thickBot="1"/>
    <row r="34" spans="1:15">
      <c r="A34" s="472" t="s">
        <v>363</v>
      </c>
      <c r="B34" s="473" t="s">
        <v>263</v>
      </c>
      <c r="C34" s="473" t="s">
        <v>264</v>
      </c>
      <c r="D34" s="473" t="s">
        <v>265</v>
      </c>
      <c r="E34" s="473" t="s">
        <v>266</v>
      </c>
      <c r="F34" s="473" t="s">
        <v>267</v>
      </c>
      <c r="G34" s="473">
        <v>2019</v>
      </c>
      <c r="H34" s="473">
        <v>2020</v>
      </c>
      <c r="I34" s="473">
        <v>2021</v>
      </c>
      <c r="J34" s="473">
        <v>2022</v>
      </c>
      <c r="K34" s="473">
        <v>2023</v>
      </c>
      <c r="L34" s="473">
        <v>2024</v>
      </c>
      <c r="M34" s="473">
        <v>2025</v>
      </c>
      <c r="N34" s="473">
        <v>2026</v>
      </c>
      <c r="O34" s="474">
        <v>2027</v>
      </c>
    </row>
    <row r="35" spans="1:15">
      <c r="A35" s="432" t="s">
        <v>268</v>
      </c>
      <c r="B35" s="256" t="s">
        <v>494</v>
      </c>
      <c r="C35" s="256" t="s">
        <v>270</v>
      </c>
      <c r="D35" s="256" t="s">
        <v>271</v>
      </c>
      <c r="E35" s="256" t="s">
        <v>490</v>
      </c>
      <c r="F35" s="256" t="s">
        <v>273</v>
      </c>
      <c r="G35" s="497">
        <f t="shared" ref="G35:O35" si="0">SUM(G3,G11,G19,G27)</f>
        <v>1881036.3</v>
      </c>
      <c r="H35" s="497">
        <f t="shared" si="0"/>
        <v>1872703.7000000002</v>
      </c>
      <c r="I35" s="497">
        <f t="shared" si="0"/>
        <v>1971733.4000000001</v>
      </c>
      <c r="J35" s="497">
        <f t="shared" si="0"/>
        <v>2049297.6</v>
      </c>
      <c r="K35" s="497">
        <f t="shared" si="0"/>
        <v>2217929.9</v>
      </c>
      <c r="L35" s="497">
        <f t="shared" si="0"/>
        <v>2419459.7000000002</v>
      </c>
      <c r="M35" s="497">
        <f t="shared" si="0"/>
        <v>2628971</v>
      </c>
      <c r="N35" s="497">
        <f t="shared" si="0"/>
        <v>2837761.9</v>
      </c>
      <c r="O35" s="498">
        <f t="shared" si="0"/>
        <v>3062019.3</v>
      </c>
    </row>
    <row r="36" spans="1:15">
      <c r="A36" s="432" t="s">
        <v>274</v>
      </c>
      <c r="B36" s="256" t="s">
        <v>494</v>
      </c>
      <c r="C36" s="256" t="s">
        <v>270</v>
      </c>
      <c r="D36" s="256" t="s">
        <v>271</v>
      </c>
      <c r="E36" s="256" t="s">
        <v>490</v>
      </c>
      <c r="F36" s="256" t="s">
        <v>273</v>
      </c>
      <c r="G36" s="497">
        <f t="shared" ref="G36:O36" si="1">SUM(G4,G12,G20,G28)</f>
        <v>1811111.1</v>
      </c>
      <c r="H36" s="497">
        <f t="shared" si="1"/>
        <v>1667235.9</v>
      </c>
      <c r="I36" s="497">
        <f t="shared" si="1"/>
        <v>1791209.5999999999</v>
      </c>
      <c r="J36" s="497">
        <f t="shared" si="1"/>
        <v>1893012.7</v>
      </c>
      <c r="K36" s="497">
        <f t="shared" si="1"/>
        <v>2051560.9</v>
      </c>
      <c r="L36" s="497">
        <f t="shared" si="1"/>
        <v>2230507.5</v>
      </c>
      <c r="M36" s="497">
        <f t="shared" si="1"/>
        <v>2430546.1</v>
      </c>
      <c r="N36" s="497">
        <f t="shared" si="1"/>
        <v>2659687.2000000002</v>
      </c>
      <c r="O36" s="498">
        <f t="shared" si="1"/>
        <v>2921285.9</v>
      </c>
    </row>
    <row r="37" spans="1:15">
      <c r="A37" s="432" t="s">
        <v>275</v>
      </c>
      <c r="B37" s="256" t="s">
        <v>494</v>
      </c>
      <c r="C37" s="256" t="s">
        <v>270</v>
      </c>
      <c r="D37" s="256" t="s">
        <v>271</v>
      </c>
      <c r="E37" s="256" t="s">
        <v>490</v>
      </c>
      <c r="F37" s="256" t="s">
        <v>273</v>
      </c>
      <c r="G37" s="497">
        <f t="shared" ref="G37:O37" si="2">SUM(G5,G13,G21,G29)</f>
        <v>993487.7</v>
      </c>
      <c r="H37" s="497">
        <f t="shared" si="2"/>
        <v>949749.4</v>
      </c>
      <c r="I37" s="497">
        <f t="shared" si="2"/>
        <v>1032363.2</v>
      </c>
      <c r="J37" s="497">
        <f t="shared" si="2"/>
        <v>1105986.6000000001</v>
      </c>
      <c r="K37" s="497">
        <f t="shared" si="2"/>
        <v>1203997</v>
      </c>
      <c r="L37" s="497">
        <f t="shared" si="2"/>
        <v>1297577</v>
      </c>
      <c r="M37" s="497">
        <f t="shared" si="2"/>
        <v>1388532.8</v>
      </c>
      <c r="N37" s="497">
        <f t="shared" si="2"/>
        <v>1486208.9</v>
      </c>
      <c r="O37" s="498">
        <f t="shared" si="2"/>
        <v>1592979.7999999998</v>
      </c>
    </row>
    <row r="38" spans="1:15">
      <c r="A38" s="432" t="s">
        <v>276</v>
      </c>
      <c r="B38" s="256" t="s">
        <v>494</v>
      </c>
      <c r="C38" s="256" t="s">
        <v>270</v>
      </c>
      <c r="D38" s="256" t="s">
        <v>271</v>
      </c>
      <c r="E38" s="256" t="s">
        <v>490</v>
      </c>
      <c r="F38" s="256" t="s">
        <v>273</v>
      </c>
      <c r="G38" s="497">
        <f t="shared" ref="G38:O38" si="3">SUM(G6,G14,G22,G30)</f>
        <v>332862.09999999998</v>
      </c>
      <c r="H38" s="497">
        <f t="shared" si="3"/>
        <v>267762.40000000002</v>
      </c>
      <c r="I38" s="497">
        <f t="shared" si="3"/>
        <v>280873.90000000002</v>
      </c>
      <c r="J38" s="497">
        <f t="shared" si="3"/>
        <v>291601.69999999995</v>
      </c>
      <c r="K38" s="497">
        <f t="shared" si="3"/>
        <v>309845</v>
      </c>
      <c r="L38" s="497">
        <f t="shared" si="3"/>
        <v>323859.8</v>
      </c>
      <c r="M38" s="497">
        <f t="shared" si="3"/>
        <v>337673.1</v>
      </c>
      <c r="N38" s="497">
        <f t="shared" si="3"/>
        <v>348731.9</v>
      </c>
      <c r="O38" s="498">
        <f t="shared" si="3"/>
        <v>360519</v>
      </c>
    </row>
    <row r="39" spans="1:15">
      <c r="A39" s="432" t="s">
        <v>277</v>
      </c>
      <c r="B39" s="256" t="s">
        <v>494</v>
      </c>
      <c r="C39" s="256" t="s">
        <v>270</v>
      </c>
      <c r="D39" s="256" t="s">
        <v>271</v>
      </c>
      <c r="E39" s="256" t="s">
        <v>490</v>
      </c>
      <c r="F39" s="256" t="s">
        <v>273</v>
      </c>
      <c r="G39" s="497">
        <f t="shared" ref="G39:O39" si="4">SUM(G7,G15,G23,G31)</f>
        <v>908528.6</v>
      </c>
      <c r="H39" s="497">
        <f t="shared" si="4"/>
        <v>889927.10000000009</v>
      </c>
      <c r="I39" s="497">
        <f t="shared" si="4"/>
        <v>913590.5</v>
      </c>
      <c r="J39" s="497">
        <f t="shared" si="4"/>
        <v>941811.60000000009</v>
      </c>
      <c r="K39" s="497">
        <f t="shared" si="4"/>
        <v>986036.9</v>
      </c>
      <c r="L39" s="497">
        <f t="shared" si="4"/>
        <v>1024124.1000000001</v>
      </c>
      <c r="M39" s="497">
        <f t="shared" si="4"/>
        <v>1057346.5</v>
      </c>
      <c r="N39" s="497">
        <f t="shared" si="4"/>
        <v>1091757.6000000001</v>
      </c>
      <c r="O39" s="498">
        <f t="shared" si="4"/>
        <v>1128005.8</v>
      </c>
    </row>
    <row r="40" spans="1:15">
      <c r="A40" s="432" t="s">
        <v>279</v>
      </c>
      <c r="B40" s="256" t="s">
        <v>494</v>
      </c>
      <c r="C40" s="256" t="s">
        <v>270</v>
      </c>
      <c r="D40" s="256" t="s">
        <v>271</v>
      </c>
      <c r="E40" s="256" t="s">
        <v>490</v>
      </c>
      <c r="F40" s="256" t="s">
        <v>273</v>
      </c>
      <c r="G40" s="497">
        <f t="shared" ref="G40:O40" si="5">SUM(G8,G16,G24,G32)</f>
        <v>685151.1</v>
      </c>
      <c r="H40" s="497">
        <f t="shared" si="5"/>
        <v>712336.5</v>
      </c>
      <c r="I40" s="497">
        <f t="shared" si="5"/>
        <v>727169.2</v>
      </c>
      <c r="J40" s="497">
        <f t="shared" si="5"/>
        <v>754678.4</v>
      </c>
      <c r="K40" s="497">
        <f t="shared" si="5"/>
        <v>813310.29999999993</v>
      </c>
      <c r="L40" s="497">
        <f t="shared" si="5"/>
        <v>873096.2</v>
      </c>
      <c r="M40" s="497">
        <f t="shared" si="5"/>
        <v>939632.8</v>
      </c>
      <c r="N40" s="497">
        <f t="shared" si="5"/>
        <v>1011885.7</v>
      </c>
      <c r="O40" s="498">
        <f t="shared" si="5"/>
        <v>1091290.2</v>
      </c>
    </row>
    <row r="41" spans="1:15" ht="15.75" thickBot="1">
      <c r="A41" s="476" t="s">
        <v>114</v>
      </c>
      <c r="B41" s="477" t="s">
        <v>494</v>
      </c>
      <c r="C41" s="477" t="s">
        <v>270</v>
      </c>
      <c r="D41" s="477" t="s">
        <v>271</v>
      </c>
      <c r="E41" s="477" t="s">
        <v>490</v>
      </c>
      <c r="F41" s="477" t="s">
        <v>273</v>
      </c>
      <c r="G41" s="499">
        <f t="shared" ref="G41:O41" si="6">SUM(G35:G40)</f>
        <v>6612176.8999999994</v>
      </c>
      <c r="H41" s="499">
        <f t="shared" si="6"/>
        <v>6359715</v>
      </c>
      <c r="I41" s="499">
        <f t="shared" si="6"/>
        <v>6716939.8000000007</v>
      </c>
      <c r="J41" s="499">
        <f t="shared" si="6"/>
        <v>7036388.6000000015</v>
      </c>
      <c r="K41" s="499">
        <f t="shared" si="6"/>
        <v>7582680</v>
      </c>
      <c r="L41" s="499">
        <f t="shared" si="6"/>
        <v>8168624.2999999998</v>
      </c>
      <c r="M41" s="499">
        <f t="shared" si="6"/>
        <v>8782702.2999999989</v>
      </c>
      <c r="N41" s="499">
        <f t="shared" si="6"/>
        <v>9436033.1999999993</v>
      </c>
      <c r="O41" s="500">
        <f t="shared" si="6"/>
        <v>10156099.999999998</v>
      </c>
    </row>
    <row r="43" spans="1:15">
      <c r="A43" s="237" t="s">
        <v>495</v>
      </c>
      <c r="B43" s="237">
        <v>2020</v>
      </c>
      <c r="C43" s="237">
        <v>2021</v>
      </c>
      <c r="D43" s="237">
        <v>2022</v>
      </c>
      <c r="E43" s="237">
        <v>2023</v>
      </c>
      <c r="F43" s="237">
        <v>2024</v>
      </c>
      <c r="G43" s="237">
        <v>2025</v>
      </c>
      <c r="H43" s="237">
        <v>2026</v>
      </c>
      <c r="I43" s="237">
        <v>2027</v>
      </c>
      <c r="J43" s="237" t="s">
        <v>245</v>
      </c>
    </row>
    <row r="44" spans="1:15">
      <c r="A44" t="s">
        <v>268</v>
      </c>
      <c r="B44" s="280">
        <f t="shared" ref="B44:I50" si="7">(H35-G35)/G35</f>
        <v>-4.4297922373958756E-3</v>
      </c>
      <c r="C44" s="280">
        <f t="shared" si="7"/>
        <v>5.2880602521370543E-2</v>
      </c>
      <c r="D44" s="280">
        <f t="shared" si="7"/>
        <v>3.9338076841422855E-2</v>
      </c>
      <c r="E44" s="280">
        <f t="shared" si="7"/>
        <v>8.2287853164908706E-2</v>
      </c>
      <c r="F44" s="280">
        <f t="shared" si="7"/>
        <v>9.0863917746002831E-2</v>
      </c>
      <c r="G44" s="280">
        <f t="shared" si="7"/>
        <v>8.6594250774253353E-2</v>
      </c>
      <c r="H44" s="280">
        <f t="shared" si="7"/>
        <v>7.941924806321557E-2</v>
      </c>
      <c r="I44" s="280">
        <f t="shared" si="7"/>
        <v>7.9026150855010038E-2</v>
      </c>
      <c r="J44" s="280">
        <f t="shared" ref="J44:J49" si="8">(O35/G35)^(1/9)-1</f>
        <v>5.5631412904743938E-2</v>
      </c>
    </row>
    <row r="45" spans="1:15">
      <c r="A45" t="s">
        <v>274</v>
      </c>
      <c r="B45" s="280">
        <f t="shared" si="7"/>
        <v>-7.9440294965891473E-2</v>
      </c>
      <c r="C45" s="280">
        <f t="shared" si="7"/>
        <v>7.4358823487426076E-2</v>
      </c>
      <c r="D45" s="280">
        <f t="shared" si="7"/>
        <v>5.6834833846357291E-2</v>
      </c>
      <c r="E45" s="280">
        <f t="shared" si="7"/>
        <v>8.3754430173659133E-2</v>
      </c>
      <c r="F45" s="280">
        <f t="shared" si="7"/>
        <v>8.7224610295507238E-2</v>
      </c>
      <c r="G45" s="280">
        <f t="shared" si="7"/>
        <v>8.9682998151765947E-2</v>
      </c>
      <c r="H45" s="280">
        <f t="shared" si="7"/>
        <v>9.4275562187444248E-2</v>
      </c>
      <c r="I45" s="280">
        <f t="shared" si="7"/>
        <v>9.8356942124622662E-2</v>
      </c>
      <c r="J45" s="280">
        <f t="shared" si="8"/>
        <v>5.4556579342536438E-2</v>
      </c>
    </row>
    <row r="46" spans="1:15">
      <c r="A46" t="s">
        <v>275</v>
      </c>
      <c r="B46" s="280">
        <f t="shared" si="7"/>
        <v>-4.402500403376905E-2</v>
      </c>
      <c r="C46" s="280">
        <f t="shared" si="7"/>
        <v>8.6984840422115489E-2</v>
      </c>
      <c r="D46" s="280">
        <f t="shared" si="7"/>
        <v>7.1315405275972785E-2</v>
      </c>
      <c r="E46" s="280">
        <f t="shared" si="7"/>
        <v>8.8618071864523404E-2</v>
      </c>
      <c r="F46" s="280">
        <f t="shared" si="7"/>
        <v>7.7724446157257862E-2</v>
      </c>
      <c r="G46" s="280">
        <f t="shared" si="7"/>
        <v>7.0096649370326419E-2</v>
      </c>
      <c r="H46" s="280">
        <f t="shared" si="7"/>
        <v>7.0344827288199352E-2</v>
      </c>
      <c r="I46" s="280">
        <f t="shared" si="7"/>
        <v>7.1841111972886118E-2</v>
      </c>
      <c r="J46" s="280">
        <f t="shared" si="8"/>
        <v>5.386040071970255E-2</v>
      </c>
    </row>
    <row r="47" spans="1:15">
      <c r="A47" t="s">
        <v>276</v>
      </c>
      <c r="B47" s="280">
        <f t="shared" si="7"/>
        <v>-0.19557558520480389</v>
      </c>
      <c r="C47" s="280">
        <f t="shared" si="7"/>
        <v>4.8966919926023963E-2</v>
      </c>
      <c r="D47" s="280">
        <f t="shared" si="7"/>
        <v>3.8194364090077183E-2</v>
      </c>
      <c r="E47" s="280">
        <f t="shared" si="7"/>
        <v>6.2562392468905534E-2</v>
      </c>
      <c r="F47" s="280">
        <f t="shared" si="7"/>
        <v>4.523164808210553E-2</v>
      </c>
      <c r="G47" s="280">
        <f t="shared" si="7"/>
        <v>4.2652098222749436E-2</v>
      </c>
      <c r="H47" s="280">
        <f t="shared" si="7"/>
        <v>3.2750017694628465E-2</v>
      </c>
      <c r="I47" s="280">
        <f t="shared" si="7"/>
        <v>3.3799890402914035E-2</v>
      </c>
      <c r="J47" s="280">
        <f t="shared" si="8"/>
        <v>8.9079270622434148E-3</v>
      </c>
    </row>
    <row r="48" spans="1:15">
      <c r="A48" t="s">
        <v>277</v>
      </c>
      <c r="B48" s="280">
        <f t="shared" si="7"/>
        <v>-2.0474314182294187E-2</v>
      </c>
      <c r="C48" s="280">
        <f t="shared" si="7"/>
        <v>2.6590267899471658E-2</v>
      </c>
      <c r="D48" s="280">
        <f t="shared" si="7"/>
        <v>3.0890316832322681E-2</v>
      </c>
      <c r="E48" s="280">
        <f t="shared" si="7"/>
        <v>4.6957693024804459E-2</v>
      </c>
      <c r="F48" s="280">
        <f t="shared" si="7"/>
        <v>3.862654632904719E-2</v>
      </c>
      <c r="G48" s="280">
        <f t="shared" si="7"/>
        <v>3.2439818572768578E-2</v>
      </c>
      <c r="H48" s="280">
        <f t="shared" si="7"/>
        <v>3.2544771274128297E-2</v>
      </c>
      <c r="I48" s="280">
        <f t="shared" si="7"/>
        <v>3.3201692390325423E-2</v>
      </c>
      <c r="J48" s="280">
        <f t="shared" si="8"/>
        <v>2.4333590072680655E-2</v>
      </c>
    </row>
    <row r="49" spans="1:15">
      <c r="A49" t="s">
        <v>279</v>
      </c>
      <c r="B49" s="280">
        <f t="shared" si="7"/>
        <v>3.9677963006992216E-2</v>
      </c>
      <c r="C49" s="280">
        <f t="shared" si="7"/>
        <v>2.0822602800782991E-2</v>
      </c>
      <c r="D49" s="280">
        <f t="shared" si="7"/>
        <v>3.78305351766825E-2</v>
      </c>
      <c r="E49" s="280">
        <f t="shared" si="7"/>
        <v>7.769123907614145E-2</v>
      </c>
      <c r="F49" s="280">
        <f t="shared" si="7"/>
        <v>7.3509335858650784E-2</v>
      </c>
      <c r="G49" s="280">
        <f t="shared" si="7"/>
        <v>7.6207638974949268E-2</v>
      </c>
      <c r="H49" s="280">
        <f t="shared" si="7"/>
        <v>7.6894825297711938E-2</v>
      </c>
      <c r="I49" s="280">
        <f t="shared" si="7"/>
        <v>7.8471807635981022E-2</v>
      </c>
      <c r="J49" s="280">
        <f t="shared" si="8"/>
        <v>5.3080434571885382E-2</v>
      </c>
    </row>
    <row r="50" spans="1:15">
      <c r="A50" t="s">
        <v>114</v>
      </c>
      <c r="B50" s="280">
        <f t="shared" si="7"/>
        <v>-3.8181359001450713E-2</v>
      </c>
      <c r="C50" s="280">
        <f t="shared" si="7"/>
        <v>5.6169938432775797E-2</v>
      </c>
      <c r="D50" s="280">
        <f t="shared" si="7"/>
        <v>4.7558681410245884E-2</v>
      </c>
      <c r="E50" s="280">
        <f t="shared" si="7"/>
        <v>7.7638037216989184E-2</v>
      </c>
      <c r="F50" s="280">
        <f t="shared" si="7"/>
        <v>7.7274037675333765E-2</v>
      </c>
      <c r="G50" s="280">
        <f t="shared" si="7"/>
        <v>7.5175204226248848E-2</v>
      </c>
      <c r="H50" s="280">
        <f t="shared" si="7"/>
        <v>7.4388369055842923E-2</v>
      </c>
      <c r="I50" s="280">
        <f t="shared" si="7"/>
        <v>7.6310329217578313E-2</v>
      </c>
      <c r="J50" s="280">
        <f>(O41/G41)^(1/9)-1</f>
        <v>4.8839819612894075E-2</v>
      </c>
      <c r="K50" s="280"/>
      <c r="L50" s="280"/>
      <c r="M50" s="280"/>
      <c r="N50" s="280"/>
      <c r="O50" s="280"/>
    </row>
    <row r="51" spans="1:15" ht="15.75" thickBot="1"/>
    <row r="52" spans="1:15">
      <c r="B52" s="472" t="s">
        <v>496</v>
      </c>
      <c r="C52" s="473" t="s">
        <v>497</v>
      </c>
      <c r="D52" s="473" t="s">
        <v>498</v>
      </c>
      <c r="E52" s="473" t="s">
        <v>499</v>
      </c>
      <c r="F52" s="473" t="s">
        <v>500</v>
      </c>
      <c r="G52" s="474" t="s">
        <v>501</v>
      </c>
    </row>
    <row r="53" spans="1:15">
      <c r="B53" s="432">
        <v>2021</v>
      </c>
      <c r="C53" s="256">
        <f ca="1">E53/D53</f>
        <v>19960.87</v>
      </c>
      <c r="D53" s="256">
        <v>0.23</v>
      </c>
      <c r="E53" s="256">
        <f t="shared" ref="E53:E62" ca="1" si="9">C53*D53</f>
        <v>4591.0001000000002</v>
      </c>
      <c r="F53" s="256"/>
      <c r="G53" s="433"/>
    </row>
    <row r="54" spans="1:15">
      <c r="B54" s="432">
        <v>2022</v>
      </c>
      <c r="C54" s="256">
        <f t="shared" ref="C54:C63" ca="1" si="10">$C$53*(1+$J$50)^(B54-$B$53)</f>
        <v>20935.755290116427</v>
      </c>
      <c r="D54" s="256">
        <f t="shared" ref="D54:D63" si="11">D53+0.01</f>
        <v>0.24000000000000002</v>
      </c>
      <c r="E54" s="256">
        <f t="shared" ca="1" si="9"/>
        <v>5024.5812696279427</v>
      </c>
      <c r="F54" s="256">
        <f t="shared" ref="F54:F63" ca="1" si="12">(E54-E53)/E53</f>
        <v>9.4441550900411106E-2</v>
      </c>
      <c r="G54" s="475">
        <f t="shared" ref="G54:G63" ca="1" si="13">ROUND(F54,2)</f>
        <v>0.09</v>
      </c>
    </row>
    <row r="55" spans="1:15">
      <c r="B55" s="432">
        <v>2023</v>
      </c>
      <c r="C55" s="256">
        <f t="shared" ca="1" si="10"/>
        <v>21958.253801945408</v>
      </c>
      <c r="D55" s="256">
        <f t="shared" si="11"/>
        <v>0.25</v>
      </c>
      <c r="E55" s="256">
        <f t="shared" ca="1" si="9"/>
        <v>5489.5634504863519</v>
      </c>
      <c r="F55" s="256">
        <f t="shared" ca="1" si="12"/>
        <v>9.254147876343137E-2</v>
      </c>
      <c r="G55" s="475">
        <f t="shared" ca="1" si="13"/>
        <v>0.09</v>
      </c>
    </row>
    <row r="56" spans="1:15">
      <c r="B56" s="432">
        <v>2024</v>
      </c>
      <c r="C56" s="256">
        <f t="shared" ca="1" si="10"/>
        <v>23030.690956646569</v>
      </c>
      <c r="D56" s="256">
        <f t="shared" si="11"/>
        <v>0.26</v>
      </c>
      <c r="E56" s="256">
        <f t="shared" ca="1" si="9"/>
        <v>5987.9796487281083</v>
      </c>
      <c r="F56" s="256">
        <f t="shared" ca="1" si="12"/>
        <v>9.0793412397409998E-2</v>
      </c>
      <c r="G56" s="475">
        <f t="shared" ca="1" si="13"/>
        <v>0.09</v>
      </c>
    </row>
    <row r="57" spans="1:15">
      <c r="B57" s="432">
        <v>2025</v>
      </c>
      <c r="C57" s="256">
        <f t="shared" ca="1" si="10"/>
        <v>24155.505748529496</v>
      </c>
      <c r="D57" s="256">
        <f t="shared" si="11"/>
        <v>0.27</v>
      </c>
      <c r="E57" s="256">
        <f t="shared" ca="1" si="9"/>
        <v>6521.9865521029642</v>
      </c>
      <c r="F57" s="256">
        <f t="shared" ca="1" si="12"/>
        <v>8.9179812674928347E-2</v>
      </c>
      <c r="G57" s="475">
        <f t="shared" ca="1" si="13"/>
        <v>0.09</v>
      </c>
    </row>
    <row r="58" spans="1:15">
      <c r="B58" s="432">
        <v>2026</v>
      </c>
      <c r="C58" s="256">
        <f t="shared" ca="1" si="10"/>
        <v>25335.256291945905</v>
      </c>
      <c r="D58" s="256">
        <f t="shared" si="11"/>
        <v>0.28000000000000003</v>
      </c>
      <c r="E58" s="256">
        <f t="shared" ca="1" si="9"/>
        <v>7093.8717617448538</v>
      </c>
      <c r="F58" s="256">
        <f t="shared" ca="1" si="12"/>
        <v>8.7685738857816192E-2</v>
      </c>
      <c r="G58" s="475">
        <f t="shared" ca="1" si="13"/>
        <v>0.09</v>
      </c>
    </row>
    <row r="59" spans="1:15">
      <c r="B59" s="432">
        <v>2027</v>
      </c>
      <c r="C59" s="256">
        <f t="shared" ca="1" si="10"/>
        <v>26572.62563909098</v>
      </c>
      <c r="D59" s="256">
        <f t="shared" si="11"/>
        <v>0.29000000000000004</v>
      </c>
      <c r="E59" s="256">
        <f t="shared" ca="1" si="9"/>
        <v>7706.0614353363853</v>
      </c>
      <c r="F59" s="256">
        <f t="shared" ca="1" si="12"/>
        <v>8.6298384599068856E-2</v>
      </c>
      <c r="G59" s="475">
        <f ca="1">ROUND(F59,2)</f>
        <v>0.09</v>
      </c>
    </row>
    <row r="60" spans="1:15">
      <c r="B60" s="432">
        <v>2028</v>
      </c>
      <c r="C60" s="256">
        <f t="shared" ca="1" si="10"/>
        <v>27870.42788194515</v>
      </c>
      <c r="D60" s="256">
        <f t="shared" si="11"/>
        <v>0.30000000000000004</v>
      </c>
      <c r="E60" s="256">
        <f t="shared" ca="1" si="9"/>
        <v>8361.1283645835465</v>
      </c>
      <c r="F60" s="256">
        <f t="shared" ca="1" si="12"/>
        <v>8.5006709944373315E-2</v>
      </c>
      <c r="G60" s="475">
        <f t="shared" ca="1" si="13"/>
        <v>0.09</v>
      </c>
    </row>
    <row r="61" spans="1:15">
      <c r="B61" s="432">
        <v>2029</v>
      </c>
      <c r="C61" s="256">
        <f t="shared" ca="1" si="10"/>
        <v>29231.614552233525</v>
      </c>
      <c r="D61" s="256">
        <f t="shared" si="11"/>
        <v>0.31000000000000005</v>
      </c>
      <c r="E61" s="256">
        <f t="shared" ca="1" si="9"/>
        <v>9061.800511192394</v>
      </c>
      <c r="F61" s="256">
        <f t="shared" ca="1" si="12"/>
        <v>8.3801146933323842E-2</v>
      </c>
      <c r="G61" s="475">
        <f t="shared" ca="1" si="13"/>
        <v>0.08</v>
      </c>
    </row>
    <row r="62" spans="1:15">
      <c r="B62" s="432">
        <v>2030</v>
      </c>
      <c r="C62" s="256">
        <f t="shared" ca="1" si="10"/>
        <v>30659.281333958261</v>
      </c>
      <c r="D62" s="256">
        <f t="shared" si="11"/>
        <v>0.32000000000000006</v>
      </c>
      <c r="E62" s="256">
        <f t="shared" ca="1" si="9"/>
        <v>9810.9700268666456</v>
      </c>
      <c r="F62" s="256">
        <f t="shared" ca="1" si="12"/>
        <v>8.2673362181052076E-2</v>
      </c>
      <c r="G62" s="475">
        <f t="shared" ca="1" si="13"/>
        <v>0.08</v>
      </c>
    </row>
    <row r="63" spans="1:15" ht="15.75" thickBot="1">
      <c r="B63" s="476">
        <v>2031</v>
      </c>
      <c r="C63" s="477">
        <f t="shared" ca="1" si="10"/>
        <v>32156.675103769754</v>
      </c>
      <c r="D63" s="256">
        <f t="shared" si="11"/>
        <v>0.33000000000000007</v>
      </c>
      <c r="E63" s="477">
        <f ca="1">C63*D63</f>
        <v>10611.70278424402</v>
      </c>
      <c r="F63" s="477">
        <f t="shared" ca="1" si="12"/>
        <v>8.161606397579696E-2</v>
      </c>
      <c r="G63" s="478">
        <f t="shared" ca="1" si="13"/>
        <v>0.08</v>
      </c>
    </row>
    <row r="64" spans="1:15">
      <c r="C64" t="s">
        <v>118</v>
      </c>
    </row>
    <row r="65" spans="1:11">
      <c r="A65" s="237" t="s">
        <v>496</v>
      </c>
      <c r="B65" cm="1">
        <f t="array" ref="B65:K65">TRANSPOSE(B54:B63)</f>
        <v>2022</v>
      </c>
      <c r="C65">
        <v>2023</v>
      </c>
      <c r="D65">
        <v>2024</v>
      </c>
      <c r="E65">
        <v>2025</v>
      </c>
      <c r="F65">
        <v>2026</v>
      </c>
      <c r="G65">
        <v>2027</v>
      </c>
      <c r="H65">
        <v>2028</v>
      </c>
      <c r="I65">
        <v>2029</v>
      </c>
      <c r="J65">
        <v>2030</v>
      </c>
      <c r="K65">
        <v>2031</v>
      </c>
    </row>
    <row r="66" spans="1:11">
      <c r="A66" s="237" t="s">
        <v>501</v>
      </c>
      <c r="B66" cm="1">
        <f t="array" aca="1" ref="B66:K66" ca="1">TRANSPOSE(G54:G63)</f>
        <v>0.09</v>
      </c>
      <c r="C66">
        <f ca="1"/>
        <v>0.09</v>
      </c>
      <c r="D66">
        <f ca="1"/>
        <v>0.09</v>
      </c>
      <c r="E66">
        <f ca="1"/>
        <v>0.09</v>
      </c>
      <c r="F66">
        <f ca="1"/>
        <v>0.09</v>
      </c>
      <c r="G66">
        <f ca="1"/>
        <v>0.09</v>
      </c>
      <c r="H66">
        <f ca="1"/>
        <v>0.09</v>
      </c>
      <c r="I66">
        <f ca="1"/>
        <v>0.08</v>
      </c>
      <c r="J66">
        <f ca="1"/>
        <v>0.08</v>
      </c>
      <c r="K66">
        <f ca="1"/>
        <v>0.08</v>
      </c>
    </row>
    <row r="67" spans="1:11">
      <c r="A67" s="237" t="s">
        <v>500</v>
      </c>
      <c r="B67" cm="1">
        <f t="array" aca="1" ref="B67:J67" ca="1">TRANSPOSE(F55:F63)</f>
        <v>9.254147876343137E-2</v>
      </c>
      <c r="C67">
        <f ca="1"/>
        <v>9.0793412397409998E-2</v>
      </c>
      <c r="D67">
        <f ca="1"/>
        <v>8.9179812674928347E-2</v>
      </c>
      <c r="E67">
        <f ca="1"/>
        <v>8.7685738857816192E-2</v>
      </c>
      <c r="F67">
        <f ca="1"/>
        <v>8.6298384599068856E-2</v>
      </c>
      <c r="G67">
        <f ca="1"/>
        <v>8.5006709944373315E-2</v>
      </c>
      <c r="H67">
        <f ca="1"/>
        <v>8.3801146933323842E-2</v>
      </c>
      <c r="I67">
        <f ca="1"/>
        <v>8.2673362181052076E-2</v>
      </c>
      <c r="J67">
        <f ca="1"/>
        <v>8.161606397579696E-2</v>
      </c>
    </row>
    <row r="74" spans="1:11">
      <c r="E74" t="s">
        <v>502</v>
      </c>
      <c r="F74" t="s">
        <v>503</v>
      </c>
      <c r="G74" t="s">
        <v>504</v>
      </c>
    </row>
    <row r="75" spans="1:11">
      <c r="E75" s="194">
        <v>8.3699999999999997E-2</v>
      </c>
      <c r="F75" s="194">
        <v>5.3400000000000003E-2</v>
      </c>
    </row>
    <row r="77" spans="1:11">
      <c r="E77" s="194">
        <f>(F75-E75)/E75</f>
        <v>-0.36200716845878128</v>
      </c>
    </row>
    <row r="78" spans="1:11">
      <c r="E78" s="750">
        <f>1+E77</f>
        <v>0.63799283154121866</v>
      </c>
    </row>
    <row r="80" spans="1:11">
      <c r="E80">
        <f>((1+E78)^(1/10))-1</f>
        <v>5.0585009483806953E-2</v>
      </c>
    </row>
    <row r="82" spans="2:11">
      <c r="E82">
        <v>1</v>
      </c>
      <c r="F82" s="421">
        <f>E75</f>
        <v>8.3699999999999997E-2</v>
      </c>
      <c r="J82">
        <v>1</v>
      </c>
      <c r="K82" s="751">
        <v>8.3699999999999997E-2</v>
      </c>
    </row>
    <row r="83" spans="2:11">
      <c r="E83">
        <f t="shared" ref="E83:E91" si="14">E82+1</f>
        <v>2</v>
      </c>
      <c r="F83" s="280">
        <f t="shared" ref="F83:F91" si="15">F82*(1-$E$80)</f>
        <v>7.9466034706205349E-2</v>
      </c>
      <c r="J83">
        <f t="shared" ref="J83:J91" si="16">J82+1</f>
        <v>2</v>
      </c>
      <c r="K83" s="751">
        <f t="shared" ref="K83:K90" si="17">K82-($K$82-$K$91)/9</f>
        <v>8.0333333333333326E-2</v>
      </c>
    </row>
    <row r="84" spans="2:11">
      <c r="E84">
        <f t="shared" si="14"/>
        <v>3</v>
      </c>
      <c r="F84" s="280">
        <f t="shared" si="15"/>
        <v>7.5446244586951414E-2</v>
      </c>
      <c r="J84">
        <f t="shared" si="16"/>
        <v>3</v>
      </c>
      <c r="K84" s="751">
        <f t="shared" si="17"/>
        <v>7.6966666666666655E-2</v>
      </c>
    </row>
    <row r="85" spans="2:11">
      <c r="E85">
        <f t="shared" si="14"/>
        <v>4</v>
      </c>
      <c r="F85" s="280">
        <f t="shared" si="15"/>
        <v>7.1629795589002856E-2</v>
      </c>
      <c r="J85">
        <f t="shared" si="16"/>
        <v>4</v>
      </c>
      <c r="K85" s="751">
        <f t="shared" si="17"/>
        <v>7.3599999999999985E-2</v>
      </c>
    </row>
    <row r="86" spans="2:11">
      <c r="E86">
        <f t="shared" si="14"/>
        <v>5</v>
      </c>
      <c r="F86" s="280">
        <f t="shared" si="15"/>
        <v>6.8006401699809996E-2</v>
      </c>
      <c r="J86">
        <f t="shared" si="16"/>
        <v>5</v>
      </c>
      <c r="K86" s="751">
        <f t="shared" si="17"/>
        <v>7.0233333333333314E-2</v>
      </c>
    </row>
    <row r="87" spans="2:11">
      <c r="E87">
        <f t="shared" si="14"/>
        <v>6</v>
      </c>
      <c r="F87" s="280">
        <f t="shared" si="15"/>
        <v>6.4566297224865524E-2</v>
      </c>
      <c r="J87">
        <f t="shared" si="16"/>
        <v>6</v>
      </c>
      <c r="K87" s="751">
        <f t="shared" si="17"/>
        <v>6.6866666666666644E-2</v>
      </c>
    </row>
    <row r="88" spans="2:11">
      <c r="E88">
        <f t="shared" si="14"/>
        <v>7</v>
      </c>
      <c r="F88" s="280">
        <f t="shared" si="15"/>
        <v>6.1300210467411402E-2</v>
      </c>
      <c r="J88">
        <f t="shared" si="16"/>
        <v>7</v>
      </c>
      <c r="K88" s="751">
        <f t="shared" si="17"/>
        <v>6.3499999999999973E-2</v>
      </c>
    </row>
    <row r="89" spans="2:11">
      <c r="E89">
        <f t="shared" si="14"/>
        <v>8</v>
      </c>
      <c r="F89" s="280">
        <f t="shared" si="15"/>
        <v>5.8199338739558036E-2</v>
      </c>
      <c r="J89">
        <f t="shared" si="16"/>
        <v>8</v>
      </c>
      <c r="K89" s="751">
        <f t="shared" si="17"/>
        <v>6.0133333333333309E-2</v>
      </c>
    </row>
    <row r="90" spans="2:11">
      <c r="E90">
        <f t="shared" si="14"/>
        <v>9</v>
      </c>
      <c r="F90" s="280">
        <f t="shared" si="15"/>
        <v>5.5255324637466199E-2</v>
      </c>
      <c r="J90">
        <f t="shared" si="16"/>
        <v>9</v>
      </c>
      <c r="K90" s="751">
        <f t="shared" si="17"/>
        <v>5.6766666666666646E-2</v>
      </c>
    </row>
    <row r="91" spans="2:11">
      <c r="E91">
        <f t="shared" si="14"/>
        <v>10</v>
      </c>
      <c r="F91" s="752">
        <f t="shared" si="15"/>
        <v>5.2460233516649142E-2</v>
      </c>
      <c r="J91">
        <f t="shared" si="16"/>
        <v>10</v>
      </c>
      <c r="K91" s="751">
        <v>5.3400000000000003E-2</v>
      </c>
    </row>
    <row r="94" spans="2:11">
      <c r="B94">
        <v>1</v>
      </c>
      <c r="C94" s="194">
        <v>8.3699999999999997E-2</v>
      </c>
      <c r="E94" t="s">
        <v>505</v>
      </c>
      <c r="F94" s="194">
        <v>8.3699999999999997E-2</v>
      </c>
    </row>
    <row r="95" spans="2:11">
      <c r="B95">
        <f t="shared" ref="B95:B103" si="18">B94+1</f>
        <v>2</v>
      </c>
      <c r="D95">
        <f>(F101^(1/10))-1</f>
        <v>-4.3947855682380799E-2</v>
      </c>
      <c r="E95" t="s">
        <v>506</v>
      </c>
      <c r="F95" s="194">
        <v>5.3400000000000003E-2</v>
      </c>
    </row>
    <row r="96" spans="2:11">
      <c r="B96">
        <f t="shared" si="18"/>
        <v>3</v>
      </c>
    </row>
    <row r="97" spans="2:7">
      <c r="B97">
        <f t="shared" si="18"/>
        <v>4</v>
      </c>
      <c r="E97" t="s">
        <v>507</v>
      </c>
    </row>
    <row r="98" spans="2:7">
      <c r="B98">
        <f t="shared" si="18"/>
        <v>5</v>
      </c>
      <c r="E98" t="s">
        <v>508</v>
      </c>
      <c r="F98" s="194">
        <f>(F95-F94)/F94</f>
        <v>-0.36200716845878128</v>
      </c>
    </row>
    <row r="99" spans="2:7">
      <c r="B99">
        <f t="shared" si="18"/>
        <v>6</v>
      </c>
    </row>
    <row r="100" spans="2:7">
      <c r="B100">
        <f t="shared" si="18"/>
        <v>7</v>
      </c>
      <c r="E100" t="s">
        <v>509</v>
      </c>
    </row>
    <row r="101" spans="2:7">
      <c r="B101">
        <f t="shared" si="18"/>
        <v>8</v>
      </c>
      <c r="E101" t="s">
        <v>510</v>
      </c>
      <c r="F101" s="750">
        <f>100%+F98</f>
        <v>0.63799283154121866</v>
      </c>
      <c r="G101" t="s">
        <v>511</v>
      </c>
    </row>
    <row r="102" spans="2:7">
      <c r="B102">
        <f t="shared" si="18"/>
        <v>9</v>
      </c>
    </row>
    <row r="103" spans="2:7">
      <c r="B103">
        <f t="shared" si="18"/>
        <v>10</v>
      </c>
      <c r="C103" s="280">
        <v>5.3400000000000003E-2</v>
      </c>
      <c r="E103" t="s">
        <v>512</v>
      </c>
    </row>
    <row r="104" spans="2:7">
      <c r="E104" t="s">
        <v>513</v>
      </c>
    </row>
    <row r="106" spans="2:7">
      <c r="E106" t="s">
        <v>514</v>
      </c>
    </row>
    <row r="107" spans="2:7">
      <c r="E107" t="s">
        <v>515</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246A-F63D-4D59-B9E9-DD2D7582CD6D}">
  <sheetPr codeName="Sheet10"/>
  <dimension ref="A1:XFD179"/>
  <sheetViews>
    <sheetView showGridLines="0" zoomScaleNormal="100" workbookViewId="0">
      <selection activeCell="H20" sqref="H20"/>
    </sheetView>
  </sheetViews>
  <sheetFormatPr defaultColWidth="8.7109375" defaultRowHeight="15" outlineLevelRow="1"/>
  <cols>
    <col min="1" max="1" width="31.7109375" bestFit="1" customWidth="1"/>
    <col min="2" max="4" width="8" bestFit="1" customWidth="1"/>
    <col min="5" max="7" width="8.7109375" customWidth="1"/>
    <col min="10" max="10" width="34.42578125" bestFit="1" customWidth="1"/>
    <col min="11" max="12" width="6.140625" bestFit="1" customWidth="1"/>
    <col min="13" max="13" width="6" bestFit="1" customWidth="1"/>
  </cols>
  <sheetData>
    <row r="1" spans="1:13" ht="17.25">
      <c r="A1" s="20"/>
      <c r="B1" s="245">
        <v>2019</v>
      </c>
      <c r="C1" s="245">
        <v>2020</v>
      </c>
      <c r="D1" s="245">
        <v>2021</v>
      </c>
      <c r="E1" s="245" t="s">
        <v>516</v>
      </c>
      <c r="F1" s="245" t="s">
        <v>517</v>
      </c>
      <c r="G1" s="245" t="s">
        <v>518</v>
      </c>
    </row>
    <row r="2" spans="1:13" ht="17.25">
      <c r="A2" s="101" t="s">
        <v>194</v>
      </c>
      <c r="B2" s="102"/>
      <c r="C2" s="102"/>
      <c r="D2" s="102"/>
      <c r="E2" s="102"/>
      <c r="F2" s="102"/>
      <c r="G2" s="102"/>
    </row>
    <row r="3" spans="1:13" outlineLevel="1">
      <c r="A3" s="20" t="s">
        <v>97</v>
      </c>
    </row>
    <row r="4" spans="1:13" outlineLevel="1">
      <c r="A4" s="77" t="s">
        <v>174</v>
      </c>
      <c r="B4">
        <v>45</v>
      </c>
      <c r="C4">
        <v>50</v>
      </c>
      <c r="D4">
        <v>62</v>
      </c>
    </row>
    <row r="5" spans="1:13" outlineLevel="1">
      <c r="A5" s="77" t="s">
        <v>175</v>
      </c>
      <c r="B5">
        <v>117</v>
      </c>
      <c r="C5">
        <v>129</v>
      </c>
      <c r="D5">
        <v>228</v>
      </c>
    </row>
    <row r="6" spans="1:13" outlineLevel="1">
      <c r="A6" s="77" t="s">
        <v>176</v>
      </c>
      <c r="B6">
        <v>564</v>
      </c>
      <c r="C6">
        <v>486</v>
      </c>
      <c r="D6">
        <v>470</v>
      </c>
    </row>
    <row r="7" spans="1:13" outlineLevel="1">
      <c r="A7" s="77" t="s">
        <v>177</v>
      </c>
      <c r="B7">
        <v>33</v>
      </c>
      <c r="C7">
        <v>36</v>
      </c>
      <c r="D7">
        <v>39</v>
      </c>
    </row>
    <row r="8" spans="1:13" outlineLevel="1">
      <c r="A8" s="20" t="s">
        <v>114</v>
      </c>
      <c r="B8" s="20">
        <f>SUM(B4:B7)</f>
        <v>759</v>
      </c>
      <c r="C8" s="20">
        <f>SUM(C4:C7)</f>
        <v>701</v>
      </c>
      <c r="D8" s="20">
        <f>SUM(D4:D7)</f>
        <v>799</v>
      </c>
    </row>
    <row r="9" spans="1:13" outlineLevel="1"/>
    <row r="10" spans="1:13" outlineLevel="1">
      <c r="A10" s="69" t="s">
        <v>519</v>
      </c>
    </row>
    <row r="11" spans="1:13" outlineLevel="1">
      <c r="A11" s="77" t="s">
        <v>174</v>
      </c>
      <c r="C11">
        <f>C4-B4</f>
        <v>5</v>
      </c>
      <c r="D11">
        <f>D4-C4</f>
        <v>12</v>
      </c>
    </row>
    <row r="12" spans="1:13" outlineLevel="1">
      <c r="A12" s="77" t="s">
        <v>175</v>
      </c>
      <c r="C12">
        <f t="shared" ref="C12:D12" si="0">C5-B5</f>
        <v>12</v>
      </c>
      <c r="D12">
        <f t="shared" si="0"/>
        <v>99</v>
      </c>
    </row>
    <row r="13" spans="1:13" outlineLevel="1">
      <c r="A13" s="77" t="s">
        <v>176</v>
      </c>
      <c r="C13">
        <f t="shared" ref="C13:D13" si="1">C6-B6</f>
        <v>-78</v>
      </c>
      <c r="D13">
        <f t="shared" si="1"/>
        <v>-16</v>
      </c>
    </row>
    <row r="14" spans="1:13" outlineLevel="1">
      <c r="A14" s="77" t="s">
        <v>177</v>
      </c>
      <c r="C14">
        <f t="shared" ref="C14:D14" si="2">C7-B7</f>
        <v>3</v>
      </c>
      <c r="D14">
        <f t="shared" si="2"/>
        <v>3</v>
      </c>
    </row>
    <row r="15" spans="1:13" ht="15.75" outlineLevel="1" thickBot="1">
      <c r="A15" s="20" t="s">
        <v>114</v>
      </c>
      <c r="B15" s="20">
        <f>SUM(B11:B14)</f>
        <v>0</v>
      </c>
      <c r="C15" s="20">
        <f>SUM(C11:C14)</f>
        <v>-58</v>
      </c>
      <c r="D15" s="20">
        <f>SUM(D11:D14)</f>
        <v>98</v>
      </c>
    </row>
    <row r="16" spans="1:13" outlineLevel="1">
      <c r="A16" s="20"/>
      <c r="J16" s="857" t="str">
        <f>A17</f>
        <v>Accumulated Depreciation</v>
      </c>
      <c r="K16" s="858"/>
      <c r="L16" s="858"/>
      <c r="M16" s="859"/>
    </row>
    <row r="17" spans="1:13" outlineLevel="1">
      <c r="A17" s="20" t="s">
        <v>520</v>
      </c>
      <c r="J17" s="537"/>
      <c r="K17" s="605">
        <f>B1</f>
        <v>2019</v>
      </c>
      <c r="L17" s="605">
        <f t="shared" ref="L17:M17" si="3">C1</f>
        <v>2020</v>
      </c>
      <c r="M17" s="606">
        <f t="shared" si="3"/>
        <v>2021</v>
      </c>
    </row>
    <row r="18" spans="1:13" outlineLevel="1">
      <c r="A18" s="77" t="s">
        <v>174</v>
      </c>
      <c r="B18">
        <v>20</v>
      </c>
      <c r="C18">
        <v>35</v>
      </c>
      <c r="D18">
        <v>47</v>
      </c>
      <c r="J18" s="537" t="str">
        <f>A18</f>
        <v>Computers</v>
      </c>
      <c r="K18" s="206">
        <f t="shared" ref="K18:M21" si="4">B18</f>
        <v>20</v>
      </c>
      <c r="L18" s="206">
        <f t="shared" si="4"/>
        <v>35</v>
      </c>
      <c r="M18" s="538">
        <f t="shared" si="4"/>
        <v>47</v>
      </c>
    </row>
    <row r="19" spans="1:13" outlineLevel="1">
      <c r="A19" s="77" t="s">
        <v>175</v>
      </c>
      <c r="B19">
        <v>46</v>
      </c>
      <c r="C19">
        <v>72</v>
      </c>
      <c r="D19">
        <v>67</v>
      </c>
      <c r="J19" s="537" t="str">
        <f t="shared" ref="J19:J21" si="5">A19</f>
        <v>Buildings and Reno</v>
      </c>
      <c r="K19" s="206">
        <f t="shared" si="4"/>
        <v>46</v>
      </c>
      <c r="L19" s="206">
        <f t="shared" si="4"/>
        <v>72</v>
      </c>
      <c r="M19" s="538">
        <f t="shared" si="4"/>
        <v>67</v>
      </c>
    </row>
    <row r="20" spans="1:13" outlineLevel="1">
      <c r="A20" s="77" t="s">
        <v>176</v>
      </c>
      <c r="B20">
        <v>148</v>
      </c>
      <c r="C20">
        <v>192</v>
      </c>
      <c r="D20">
        <v>223</v>
      </c>
      <c r="J20" s="537" t="str">
        <f t="shared" si="5"/>
        <v>Motor vehicles for leasing</v>
      </c>
      <c r="K20" s="206">
        <f t="shared" si="4"/>
        <v>148</v>
      </c>
      <c r="L20" s="206">
        <f t="shared" si="4"/>
        <v>192</v>
      </c>
      <c r="M20" s="538">
        <f t="shared" si="4"/>
        <v>223</v>
      </c>
    </row>
    <row r="21" spans="1:13" outlineLevel="1">
      <c r="A21" s="77" t="s">
        <v>177</v>
      </c>
      <c r="B21">
        <v>11</v>
      </c>
      <c r="C21">
        <v>18</v>
      </c>
      <c r="D21">
        <v>21</v>
      </c>
      <c r="J21" s="537" t="str">
        <f t="shared" si="5"/>
        <v>Office and other equipment</v>
      </c>
      <c r="K21" s="206">
        <f t="shared" si="4"/>
        <v>11</v>
      </c>
      <c r="L21" s="206">
        <f t="shared" si="4"/>
        <v>18</v>
      </c>
      <c r="M21" s="538">
        <f t="shared" si="4"/>
        <v>21</v>
      </c>
    </row>
    <row r="22" spans="1:13" outlineLevel="1">
      <c r="A22" s="20" t="s">
        <v>114</v>
      </c>
      <c r="B22" s="20">
        <f>SUM(B18:B21)</f>
        <v>225</v>
      </c>
      <c r="C22" s="20">
        <f>SUM(C18:C21)</f>
        <v>317</v>
      </c>
      <c r="D22" s="20">
        <f>SUM(D18:D21)</f>
        <v>358</v>
      </c>
      <c r="J22" s="912" t="str">
        <f>A38</f>
        <v>Implied Depreciation</v>
      </c>
      <c r="K22" s="913"/>
      <c r="L22" s="913"/>
      <c r="M22" s="914"/>
    </row>
    <row r="23" spans="1:13" ht="15.75" outlineLevel="1" thickBot="1">
      <c r="J23" s="537" t="s">
        <v>174</v>
      </c>
      <c r="K23" s="607">
        <v>0</v>
      </c>
      <c r="L23" s="206">
        <f>C39</f>
        <v>15</v>
      </c>
      <c r="M23" s="538">
        <f>D39</f>
        <v>12</v>
      </c>
    </row>
    <row r="24" spans="1:13" outlineLevel="1">
      <c r="A24" s="120" t="s">
        <v>521</v>
      </c>
      <c r="B24" s="248"/>
      <c r="C24" s="248"/>
      <c r="D24" s="249"/>
      <c r="J24" s="537" t="s">
        <v>175</v>
      </c>
      <c r="K24" s="607">
        <v>0</v>
      </c>
      <c r="L24" s="206">
        <f t="shared" ref="L24:M24" si="6">C40</f>
        <v>26</v>
      </c>
      <c r="M24" s="538">
        <f t="shared" si="6"/>
        <v>-5</v>
      </c>
    </row>
    <row r="25" spans="1:13" outlineLevel="1">
      <c r="A25" s="250" t="s">
        <v>174</v>
      </c>
      <c r="B25">
        <f>B4-B18</f>
        <v>25</v>
      </c>
      <c r="C25">
        <f t="shared" ref="C25:D25" si="7">C4-C18</f>
        <v>15</v>
      </c>
      <c r="D25" s="8">
        <f t="shared" si="7"/>
        <v>15</v>
      </c>
      <c r="J25" s="537" t="s">
        <v>176</v>
      </c>
      <c r="K25" s="607">
        <v>0</v>
      </c>
      <c r="L25" s="206">
        <f t="shared" ref="L25:M25" si="8">C41</f>
        <v>44</v>
      </c>
      <c r="M25" s="538">
        <f t="shared" si="8"/>
        <v>31</v>
      </c>
    </row>
    <row r="26" spans="1:13" ht="15.75" outlineLevel="1" thickBot="1">
      <c r="A26" s="250" t="s">
        <v>175</v>
      </c>
      <c r="B26">
        <f t="shared" ref="B26:D26" si="9">B5-B19</f>
        <v>71</v>
      </c>
      <c r="C26">
        <f t="shared" si="9"/>
        <v>57</v>
      </c>
      <c r="D26" s="8">
        <f t="shared" si="9"/>
        <v>161</v>
      </c>
      <c r="J26" s="602" t="s">
        <v>177</v>
      </c>
      <c r="K26" s="608">
        <v>0</v>
      </c>
      <c r="L26" s="603">
        <f t="shared" ref="L26:M26" si="10">C42</f>
        <v>7</v>
      </c>
      <c r="M26" s="604">
        <f t="shared" si="10"/>
        <v>3</v>
      </c>
    </row>
    <row r="27" spans="1:13" outlineLevel="1">
      <c r="A27" s="250" t="s">
        <v>176</v>
      </c>
      <c r="B27">
        <f t="shared" ref="B27:D27" si="11">B6-B20</f>
        <v>416</v>
      </c>
      <c r="C27">
        <f t="shared" si="11"/>
        <v>294</v>
      </c>
      <c r="D27" s="8">
        <f t="shared" si="11"/>
        <v>247</v>
      </c>
      <c r="J27" s="857" t="str">
        <f>A45</f>
        <v>Implied Depreciation rate</v>
      </c>
      <c r="K27" s="858"/>
      <c r="L27" s="858"/>
      <c r="M27" s="859"/>
    </row>
    <row r="28" spans="1:13" outlineLevel="1">
      <c r="A28" s="250" t="s">
        <v>177</v>
      </c>
      <c r="B28">
        <f t="shared" ref="B28:D28" si="12">B7-B21</f>
        <v>22</v>
      </c>
      <c r="C28">
        <f t="shared" si="12"/>
        <v>18</v>
      </c>
      <c r="D28" s="8">
        <f t="shared" si="12"/>
        <v>18</v>
      </c>
      <c r="J28" s="432"/>
      <c r="K28" s="605">
        <v>2019</v>
      </c>
      <c r="L28" s="605">
        <v>2020</v>
      </c>
      <c r="M28" s="606">
        <v>2021</v>
      </c>
    </row>
    <row r="29" spans="1:13" ht="15.75" outlineLevel="1" thickBot="1">
      <c r="A29" s="125" t="s">
        <v>114</v>
      </c>
      <c r="B29" s="251">
        <f>SUM(B25:B28)</f>
        <v>534</v>
      </c>
      <c r="C29" s="251">
        <f>SUM(C25:C28)</f>
        <v>384</v>
      </c>
      <c r="D29" s="126">
        <f>SUM(D25:D28)</f>
        <v>441</v>
      </c>
      <c r="J29" s="432" t="str">
        <f>A46</f>
        <v>Computers</v>
      </c>
      <c r="K29" s="256"/>
      <c r="L29" s="613">
        <f t="shared" ref="L29:M32" si="13">C46</f>
        <v>0.31578947368421051</v>
      </c>
      <c r="M29" s="614">
        <f t="shared" si="13"/>
        <v>0.21428571428571427</v>
      </c>
    </row>
    <row r="30" spans="1:13" outlineLevel="1">
      <c r="J30" s="432" t="str">
        <f>A47</f>
        <v>Buildings and Reno</v>
      </c>
      <c r="K30" s="256"/>
      <c r="L30" s="423">
        <f t="shared" si="13"/>
        <v>0.21138211382113822</v>
      </c>
      <c r="M30" s="435">
        <f t="shared" si="13"/>
        <v>-2.8011204481792718E-2</v>
      </c>
    </row>
    <row r="31" spans="1:13" outlineLevel="1">
      <c r="A31" s="20" t="s">
        <v>522</v>
      </c>
      <c r="B31">
        <v>2019</v>
      </c>
      <c r="C31">
        <v>2020</v>
      </c>
      <c r="D31">
        <v>2021</v>
      </c>
      <c r="J31" s="432" t="str">
        <f>A48</f>
        <v>Motor vehicles for leasing</v>
      </c>
      <c r="K31" s="256"/>
      <c r="L31" s="423">
        <f t="shared" si="13"/>
        <v>8.3809523809523806E-2</v>
      </c>
      <c r="M31" s="435">
        <f t="shared" si="13"/>
        <v>6.4853556485355651E-2</v>
      </c>
    </row>
    <row r="32" spans="1:13" outlineLevel="1">
      <c r="A32" s="77" t="s">
        <v>174</v>
      </c>
      <c r="B32">
        <v>25</v>
      </c>
      <c r="C32">
        <v>15</v>
      </c>
      <c r="D32">
        <v>15</v>
      </c>
      <c r="J32" s="432" t="str">
        <f>A49</f>
        <v>Office and other equipment</v>
      </c>
      <c r="K32" s="256"/>
      <c r="L32" s="423">
        <f t="shared" si="13"/>
        <v>0.20289855072463769</v>
      </c>
      <c r="M32" s="435">
        <f t="shared" si="13"/>
        <v>0.08</v>
      </c>
    </row>
    <row r="33" spans="1:13" outlineLevel="1">
      <c r="A33" s="77" t="s">
        <v>175</v>
      </c>
      <c r="B33">
        <v>71</v>
      </c>
      <c r="C33">
        <v>57</v>
      </c>
      <c r="D33">
        <v>161</v>
      </c>
      <c r="J33" s="915" t="str">
        <f>A51</f>
        <v>Implied useful lives</v>
      </c>
      <c r="K33" s="916"/>
      <c r="L33" s="916"/>
      <c r="M33" s="917"/>
    </row>
    <row r="34" spans="1:13" outlineLevel="1">
      <c r="A34" s="77" t="s">
        <v>176</v>
      </c>
      <c r="B34">
        <v>416</v>
      </c>
      <c r="C34">
        <v>294</v>
      </c>
      <c r="D34">
        <v>247</v>
      </c>
      <c r="J34" s="82" t="str">
        <f>A52</f>
        <v>Computers</v>
      </c>
      <c r="K34" s="469"/>
      <c r="L34" s="617">
        <f>D52</f>
        <v>3.8</v>
      </c>
      <c r="M34" s="618"/>
    </row>
    <row r="35" spans="1:13" outlineLevel="1">
      <c r="A35" s="77" t="s">
        <v>177</v>
      </c>
      <c r="B35">
        <v>22</v>
      </c>
      <c r="C35">
        <v>18</v>
      </c>
      <c r="D35">
        <v>18</v>
      </c>
      <c r="J35" s="615" t="str">
        <f>A53</f>
        <v>Buildings and Reno</v>
      </c>
      <c r="K35" s="469"/>
      <c r="L35" s="619">
        <f>D53</f>
        <v>10.9</v>
      </c>
      <c r="M35" s="470"/>
    </row>
    <row r="36" spans="1:13" outlineLevel="1">
      <c r="A36" s="20" t="s">
        <v>114</v>
      </c>
      <c r="B36" s="20">
        <f>SUM(B32:B35)</f>
        <v>534</v>
      </c>
      <c r="C36" s="20">
        <f>SUM(C32:C35)</f>
        <v>384</v>
      </c>
      <c r="D36" s="20">
        <f>SUM(D32:D35)</f>
        <v>441</v>
      </c>
      <c r="J36" s="615" t="str">
        <f>A54</f>
        <v>Motor vehicles for leasing</v>
      </c>
      <c r="K36" s="469"/>
      <c r="L36" s="620">
        <f>D54</f>
        <v>10</v>
      </c>
      <c r="M36" s="470"/>
    </row>
    <row r="37" spans="1:13" ht="15.75" outlineLevel="1" thickBot="1">
      <c r="J37" s="465" t="str">
        <f>A55</f>
        <v>Office and other equipment</v>
      </c>
      <c r="K37" s="621"/>
      <c r="L37" s="616">
        <f>D55</f>
        <v>7.1</v>
      </c>
      <c r="M37" s="13"/>
    </row>
    <row r="38" spans="1:13" outlineLevel="1">
      <c r="A38" s="69" t="s">
        <v>523</v>
      </c>
    </row>
    <row r="39" spans="1:13" outlineLevel="1">
      <c r="A39" s="77" t="s">
        <v>174</v>
      </c>
      <c r="C39">
        <f>C18-B18</f>
        <v>15</v>
      </c>
      <c r="D39">
        <f>D18-C18</f>
        <v>12</v>
      </c>
    </row>
    <row r="40" spans="1:13" outlineLevel="1">
      <c r="A40" s="77" t="s">
        <v>175</v>
      </c>
      <c r="C40">
        <f t="shared" ref="C40:D40" si="14">C19-B19</f>
        <v>26</v>
      </c>
      <c r="D40">
        <f t="shared" si="14"/>
        <v>-5</v>
      </c>
    </row>
    <row r="41" spans="1:13" outlineLevel="1">
      <c r="A41" s="77" t="s">
        <v>176</v>
      </c>
      <c r="C41">
        <f t="shared" ref="C41:D41" si="15">C20-B20</f>
        <v>44</v>
      </c>
      <c r="D41">
        <f t="shared" si="15"/>
        <v>31</v>
      </c>
    </row>
    <row r="42" spans="1:13" outlineLevel="1">
      <c r="A42" s="77" t="s">
        <v>177</v>
      </c>
      <c r="C42">
        <f t="shared" ref="C42:D42" si="16">C21-B21</f>
        <v>7</v>
      </c>
      <c r="D42">
        <f t="shared" si="16"/>
        <v>3</v>
      </c>
    </row>
    <row r="43" spans="1:13" outlineLevel="1">
      <c r="A43" s="80" t="s">
        <v>114</v>
      </c>
      <c r="C43">
        <f>SUM(C39:C42)</f>
        <v>92</v>
      </c>
      <c r="D43">
        <f>SUM(D39:D42)</f>
        <v>41</v>
      </c>
    </row>
    <row r="44" spans="1:13" outlineLevel="1">
      <c r="A44" s="20"/>
    </row>
    <row r="45" spans="1:13" outlineLevel="1">
      <c r="A45" s="69" t="s">
        <v>524</v>
      </c>
    </row>
    <row r="46" spans="1:13" outlineLevel="1">
      <c r="A46" s="77" t="s">
        <v>174</v>
      </c>
      <c r="C46" s="86">
        <f>(C39*2)/(B4+C4)</f>
        <v>0.31578947368421051</v>
      </c>
      <c r="D46" s="86">
        <f>(D39*2)/(C4+D4)</f>
        <v>0.21428571428571427</v>
      </c>
    </row>
    <row r="47" spans="1:13" outlineLevel="1">
      <c r="A47" s="77" t="s">
        <v>175</v>
      </c>
      <c r="C47" s="86">
        <f t="shared" ref="C47:D47" si="17">(C40*2)/(B5+C5)</f>
        <v>0.21138211382113822</v>
      </c>
      <c r="D47" s="86">
        <f t="shared" si="17"/>
        <v>-2.8011204481792718E-2</v>
      </c>
    </row>
    <row r="48" spans="1:13" outlineLevel="1">
      <c r="A48" s="77" t="s">
        <v>176</v>
      </c>
      <c r="C48" s="86">
        <f t="shared" ref="C48:D48" si="18">(C41*2)/(B6+C6)</f>
        <v>8.3809523809523806E-2</v>
      </c>
      <c r="D48" s="86">
        <f t="shared" si="18"/>
        <v>6.4853556485355651E-2</v>
      </c>
    </row>
    <row r="49" spans="1:13 16384:16384" outlineLevel="1">
      <c r="A49" s="77" t="s">
        <v>177</v>
      </c>
      <c r="C49" s="86">
        <f t="shared" ref="C49:D49" si="19">(C42*2)/(B7+C7)</f>
        <v>0.20289855072463769</v>
      </c>
      <c r="D49" s="86">
        <f t="shared" si="19"/>
        <v>0.08</v>
      </c>
    </row>
    <row r="51" spans="1:13 16384:16384" ht="15.75" thickBot="1">
      <c r="A51" s="69" t="s">
        <v>525</v>
      </c>
    </row>
    <row r="52" spans="1:13 16384:16384">
      <c r="A52" s="77" t="s">
        <v>174</v>
      </c>
      <c r="D52" s="242">
        <f>ROUND(1/(AVERAGE(C46:D46)),1)</f>
        <v>3.8</v>
      </c>
      <c r="E52" s="5"/>
    </row>
    <row r="53" spans="1:13 16384:16384">
      <c r="A53" s="77" t="s">
        <v>175</v>
      </c>
      <c r="D53" s="243">
        <f>ROUND(1/(AVERAGE(C47:D47)),1)</f>
        <v>10.9</v>
      </c>
      <c r="E53" s="5"/>
    </row>
    <row r="54" spans="1:13 16384:16384">
      <c r="A54" s="77" t="s">
        <v>176</v>
      </c>
      <c r="D54" s="611">
        <v>10</v>
      </c>
      <c r="E54" s="5"/>
    </row>
    <row r="55" spans="1:13 16384:16384" ht="15.75" thickBot="1">
      <c r="A55" s="77" t="s">
        <v>177</v>
      </c>
      <c r="D55" s="244">
        <f>ROUND(1/(AVERAGE(C49:D49)),1)</f>
        <v>7.1</v>
      </c>
    </row>
    <row r="56" spans="1:13 16384:16384" outlineLevel="1"/>
    <row r="57" spans="1:13 16384:16384" outlineLevel="1">
      <c r="A57" s="69" t="s">
        <v>526</v>
      </c>
    </row>
    <row r="58" spans="1:13 16384:16384" outlineLevel="1">
      <c r="A58" s="77" t="s">
        <v>527</v>
      </c>
      <c r="B58" s="2">
        <f>Values!B5</f>
        <v>-638</v>
      </c>
      <c r="C58" s="2">
        <f>Values!C5</f>
        <v>5</v>
      </c>
      <c r="D58" s="2">
        <f>Values!D5</f>
        <v>148</v>
      </c>
      <c r="E58" s="2">
        <f>Values!E5</f>
        <v>91</v>
      </c>
      <c r="F58" s="2">
        <f>Values!F5</f>
        <v>134</v>
      </c>
      <c r="G58" s="2">
        <f>Values!G5</f>
        <v>171</v>
      </c>
    </row>
    <row r="59" spans="1:13 16384:16384" outlineLevel="1">
      <c r="A59" s="77" t="s">
        <v>528</v>
      </c>
      <c r="B59">
        <f>Values!B6</f>
        <v>9</v>
      </c>
      <c r="C59">
        <f>Values!C6</f>
        <v>438</v>
      </c>
      <c r="D59">
        <f>Values!D6</f>
        <v>456</v>
      </c>
      <c r="E59">
        <f>Values!E6</f>
        <v>112</v>
      </c>
      <c r="F59">
        <f>Values!F6</f>
        <v>161</v>
      </c>
      <c r="G59">
        <f>Values!G6</f>
        <v>176</v>
      </c>
    </row>
    <row r="60" spans="1:13 16384:16384" outlineLevel="1">
      <c r="A60" s="77" t="s">
        <v>529</v>
      </c>
      <c r="B60">
        <f>Values!B7</f>
        <v>-229</v>
      </c>
      <c r="C60">
        <f>Values!C7</f>
        <v>-10</v>
      </c>
      <c r="D60">
        <f>Values!D7</f>
        <v>27</v>
      </c>
      <c r="E60">
        <f>Values!E7</f>
        <v>11</v>
      </c>
      <c r="F60">
        <f>Values!F7</f>
        <v>12.5</v>
      </c>
      <c r="G60">
        <f>Values!G7</f>
        <v>20</v>
      </c>
    </row>
    <row r="61" spans="1:13 16384:16384" outlineLevel="1">
      <c r="A61" s="77" t="s">
        <v>530</v>
      </c>
      <c r="B61">
        <f>Values!B8</f>
        <v>13</v>
      </c>
      <c r="C61">
        <f>Values!C8</f>
        <v>36</v>
      </c>
      <c r="D61">
        <f>Values!D8</f>
        <v>44</v>
      </c>
      <c r="E61">
        <f>Values!E8</f>
        <v>14</v>
      </c>
      <c r="F61">
        <f>Values!F8</f>
        <v>13.5</v>
      </c>
      <c r="G61">
        <f>Values!G8</f>
        <v>15</v>
      </c>
    </row>
    <row r="62" spans="1:13 16384:16384" ht="15.75" outlineLevel="1" thickBot="1">
      <c r="A62" s="69" t="s">
        <v>114</v>
      </c>
      <c r="B62" s="253">
        <f t="shared" ref="B62:G62" si="20">SUM(B58:B61)</f>
        <v>-845</v>
      </c>
      <c r="C62" s="253">
        <f t="shared" si="20"/>
        <v>469</v>
      </c>
      <c r="D62" s="253">
        <f t="shared" si="20"/>
        <v>675</v>
      </c>
      <c r="E62" s="253">
        <f t="shared" si="20"/>
        <v>228</v>
      </c>
      <c r="F62" s="253">
        <f t="shared" si="20"/>
        <v>321</v>
      </c>
      <c r="G62" s="253">
        <f t="shared" si="20"/>
        <v>382</v>
      </c>
      <c r="XFD62" s="2"/>
    </row>
    <row r="63" spans="1:13 16384:16384" outlineLevel="1">
      <c r="J63" s="857" t="str">
        <f>A64</f>
        <v>GMV generated by segment</v>
      </c>
      <c r="K63" s="858"/>
      <c r="L63" s="858"/>
      <c r="M63" s="859"/>
    </row>
    <row r="64" spans="1:13 16384:16384" outlineLevel="1">
      <c r="A64" s="600" t="s">
        <v>531</v>
      </c>
      <c r="B64" s="601">
        <v>2019</v>
      </c>
      <c r="C64" s="601">
        <v>2020</v>
      </c>
      <c r="D64" s="601">
        <v>2021</v>
      </c>
      <c r="J64" s="537"/>
      <c r="K64" s="206" t="s">
        <v>209</v>
      </c>
      <c r="L64" s="206" t="s">
        <v>210</v>
      </c>
      <c r="M64" s="538" t="s">
        <v>211</v>
      </c>
    </row>
    <row r="65" spans="1:13" outlineLevel="1">
      <c r="A65" s="77" t="s">
        <v>527</v>
      </c>
      <c r="B65" s="100">
        <f>Rates!B20</f>
        <v>2947</v>
      </c>
      <c r="C65" s="100">
        <f>Rates!C20</f>
        <v>5468</v>
      </c>
      <c r="D65" s="100">
        <f>Rates!D20</f>
        <v>8530</v>
      </c>
      <c r="E65">
        <f>Rates!E20</f>
        <v>2562</v>
      </c>
      <c r="F65">
        <f>Rates!F20</f>
        <v>2476</v>
      </c>
      <c r="G65">
        <f>Rates!G20</f>
        <v>2439</v>
      </c>
      <c r="J65" s="537" t="str">
        <f t="shared" ref="J65:J75" si="21">A65</f>
        <v>deliveries</v>
      </c>
      <c r="K65" s="206">
        <f t="shared" ref="K65:K75" si="22">B65</f>
        <v>2947</v>
      </c>
      <c r="L65" s="206">
        <f t="shared" ref="L65:L75" si="23">C65</f>
        <v>5468</v>
      </c>
      <c r="M65" s="538">
        <f t="shared" ref="M65:M75" si="24">D65</f>
        <v>8530</v>
      </c>
    </row>
    <row r="66" spans="1:13" outlineLevel="1">
      <c r="A66" s="77" t="s">
        <v>528</v>
      </c>
      <c r="B66" s="100">
        <f>Rates!B21</f>
        <v>5715</v>
      </c>
      <c r="C66" s="100">
        <f>Rates!C21</f>
        <v>3232</v>
      </c>
      <c r="D66" s="100">
        <f>Rates!D21</f>
        <v>2787</v>
      </c>
      <c r="E66">
        <f>Rates!E21</f>
        <v>834</v>
      </c>
      <c r="F66">
        <f>Rates!F21</f>
        <v>1035</v>
      </c>
      <c r="G66">
        <f>Rates!G21</f>
        <v>1086</v>
      </c>
      <c r="J66" s="537" t="str">
        <f t="shared" si="21"/>
        <v>mobility</v>
      </c>
      <c r="K66" s="206">
        <f t="shared" si="22"/>
        <v>5715</v>
      </c>
      <c r="L66" s="206">
        <f t="shared" si="23"/>
        <v>3232</v>
      </c>
      <c r="M66" s="538">
        <f t="shared" si="24"/>
        <v>2787</v>
      </c>
    </row>
    <row r="67" spans="1:13" outlineLevel="1">
      <c r="A67" s="77" t="s">
        <v>529</v>
      </c>
      <c r="B67" s="100">
        <f>Rates!B22</f>
        <v>3579</v>
      </c>
      <c r="C67" s="100">
        <f>Rates!C22</f>
        <v>3748</v>
      </c>
      <c r="D67" s="100">
        <f>Rates!D22</f>
        <v>4591</v>
      </c>
      <c r="E67">
        <f>Rates!E22</f>
        <v>1357</v>
      </c>
      <c r="F67">
        <f>Rates!F22</f>
        <v>1493</v>
      </c>
      <c r="G67">
        <f>Rates!G22</f>
        <v>1507</v>
      </c>
      <c r="J67" s="537" t="str">
        <f t="shared" si="21"/>
        <v>finance services</v>
      </c>
      <c r="K67" s="206">
        <f t="shared" si="22"/>
        <v>3579</v>
      </c>
      <c r="L67" s="206">
        <f t="shared" si="23"/>
        <v>3748</v>
      </c>
      <c r="M67" s="538">
        <f t="shared" si="24"/>
        <v>4591</v>
      </c>
    </row>
    <row r="68" spans="1:13" outlineLevel="1">
      <c r="A68" s="77" t="s">
        <v>530</v>
      </c>
      <c r="B68" s="100">
        <f>Rates!B23</f>
        <v>9</v>
      </c>
      <c r="C68" s="100">
        <f>Rates!C23</f>
        <v>44</v>
      </c>
      <c r="D68" s="100">
        <f>Rates!D23</f>
        <v>153</v>
      </c>
      <c r="E68">
        <f>Rates!E23</f>
        <v>52</v>
      </c>
      <c r="F68">
        <f>Rates!F23</f>
        <v>52</v>
      </c>
      <c r="G68">
        <f>Rates!G23</f>
        <v>48</v>
      </c>
      <c r="J68" s="537" t="str">
        <f t="shared" si="21"/>
        <v>enterprise</v>
      </c>
      <c r="K68" s="206">
        <f t="shared" si="22"/>
        <v>9</v>
      </c>
      <c r="L68" s="206">
        <f t="shared" si="23"/>
        <v>44</v>
      </c>
      <c r="M68" s="538">
        <f t="shared" si="24"/>
        <v>153</v>
      </c>
    </row>
    <row r="69" spans="1:13" outlineLevel="1">
      <c r="A69" s="69" t="s">
        <v>114</v>
      </c>
      <c r="B69" s="195">
        <f t="shared" ref="B69:G69" si="25">SUM(B65:B68)</f>
        <v>12250</v>
      </c>
      <c r="C69" s="195">
        <f t="shared" si="25"/>
        <v>12492</v>
      </c>
      <c r="D69" s="195">
        <f t="shared" si="25"/>
        <v>16061</v>
      </c>
      <c r="E69" s="20">
        <f t="shared" si="25"/>
        <v>4805</v>
      </c>
      <c r="F69" s="20">
        <f t="shared" si="25"/>
        <v>5056</v>
      </c>
      <c r="G69" s="20">
        <f t="shared" si="25"/>
        <v>5080</v>
      </c>
      <c r="J69" s="537" t="str">
        <f t="shared" si="21"/>
        <v>Total</v>
      </c>
      <c r="K69" s="206">
        <f t="shared" si="22"/>
        <v>12250</v>
      </c>
      <c r="L69" s="206">
        <f t="shared" si="23"/>
        <v>12492</v>
      </c>
      <c r="M69" s="538">
        <f t="shared" si="24"/>
        <v>16061</v>
      </c>
    </row>
    <row r="70" spans="1:13">
      <c r="A70" s="69"/>
      <c r="B70" s="84"/>
      <c r="C70" s="84"/>
      <c r="D70" s="84"/>
      <c r="J70" s="912" t="str">
        <f>A71</f>
        <v>Implied GMV turnover per PPE asset</v>
      </c>
      <c r="K70" s="913"/>
      <c r="L70" s="913"/>
      <c r="M70" s="914"/>
    </row>
    <row r="71" spans="1:13">
      <c r="A71" s="69" t="s">
        <v>532</v>
      </c>
      <c r="B71" s="20">
        <v>2019</v>
      </c>
      <c r="C71" s="20">
        <v>2020</v>
      </c>
      <c r="D71" s="20">
        <v>2021</v>
      </c>
      <c r="J71" s="537"/>
      <c r="K71" s="206">
        <f t="shared" si="22"/>
        <v>2019</v>
      </c>
      <c r="L71" s="206">
        <f t="shared" si="23"/>
        <v>2020</v>
      </c>
      <c r="M71" s="538">
        <f t="shared" si="24"/>
        <v>2021</v>
      </c>
    </row>
    <row r="72" spans="1:13">
      <c r="A72" s="77" t="s">
        <v>174</v>
      </c>
      <c r="B72" s="84">
        <f>ROUND(B69/B25,0)</f>
        <v>490</v>
      </c>
      <c r="C72" s="84">
        <f>ROUND(C69/C25,0)</f>
        <v>833</v>
      </c>
      <c r="D72" s="84">
        <f>ROUND(D69/D25,0)</f>
        <v>1071</v>
      </c>
      <c r="J72" s="537" t="str">
        <f t="shared" si="21"/>
        <v>Computers</v>
      </c>
      <c r="K72" s="206">
        <f t="shared" si="22"/>
        <v>490</v>
      </c>
      <c r="L72" s="206">
        <f t="shared" si="23"/>
        <v>833</v>
      </c>
      <c r="M72" s="538">
        <f t="shared" si="24"/>
        <v>1071</v>
      </c>
    </row>
    <row r="73" spans="1:13">
      <c r="A73" s="77" t="s">
        <v>175</v>
      </c>
      <c r="B73" s="84">
        <f>ROUND(B69/B26,0)</f>
        <v>173</v>
      </c>
      <c r="C73" s="84">
        <f>ROUND(C69/C26,0)</f>
        <v>219</v>
      </c>
      <c r="D73" s="84">
        <f>ROUND(D69/D26,0)</f>
        <v>100</v>
      </c>
      <c r="J73" s="537" t="str">
        <f t="shared" si="21"/>
        <v>Buildings and Reno</v>
      </c>
      <c r="K73" s="206">
        <f t="shared" si="22"/>
        <v>173</v>
      </c>
      <c r="L73" s="206">
        <f t="shared" si="23"/>
        <v>219</v>
      </c>
      <c r="M73" s="538">
        <f t="shared" si="24"/>
        <v>100</v>
      </c>
    </row>
    <row r="74" spans="1:13">
      <c r="A74" s="77" t="s">
        <v>176</v>
      </c>
      <c r="B74" s="84">
        <f>ROUND(B66/B27,0)</f>
        <v>14</v>
      </c>
      <c r="C74" s="84">
        <f>ROUND(C66/C27,0)</f>
        <v>11</v>
      </c>
      <c r="D74" s="84">
        <f>ROUND(D66/D27,0)</f>
        <v>11</v>
      </c>
      <c r="J74" s="537" t="str">
        <f t="shared" si="21"/>
        <v>Motor vehicles for leasing</v>
      </c>
      <c r="K74" s="206">
        <f t="shared" si="22"/>
        <v>14</v>
      </c>
      <c r="L74" s="206">
        <f t="shared" si="23"/>
        <v>11</v>
      </c>
      <c r="M74" s="538">
        <f t="shared" si="24"/>
        <v>11</v>
      </c>
    </row>
    <row r="75" spans="1:13" ht="15.75" thickBot="1">
      <c r="A75" s="77" t="s">
        <v>177</v>
      </c>
      <c r="B75" s="84">
        <f>ROUND(B69/B28,0)</f>
        <v>557</v>
      </c>
      <c r="C75" s="84">
        <f>ROUND(C69/C28,0)</f>
        <v>694</v>
      </c>
      <c r="D75" s="84">
        <f>ROUND(D69/D28,0)</f>
        <v>892</v>
      </c>
      <c r="J75" s="602" t="str">
        <f t="shared" si="21"/>
        <v>Office and other equipment</v>
      </c>
      <c r="K75" s="603">
        <f t="shared" si="22"/>
        <v>557</v>
      </c>
      <c r="L75" s="603">
        <f t="shared" si="23"/>
        <v>694</v>
      </c>
      <c r="M75" s="604">
        <f t="shared" si="24"/>
        <v>892</v>
      </c>
    </row>
    <row r="76" spans="1:13">
      <c r="A76" s="69"/>
    </row>
    <row r="77" spans="1:13" outlineLevel="1"/>
    <row r="78" spans="1:13" outlineLevel="1">
      <c r="A78" s="69" t="s">
        <v>533</v>
      </c>
    </row>
    <row r="79" spans="1:13" outlineLevel="1">
      <c r="A79" s="77" t="s">
        <v>174</v>
      </c>
      <c r="B79">
        <f>ROUND(B$62/B25,)</f>
        <v>-34</v>
      </c>
      <c r="C79">
        <f>ROUND(C$62/C25,)</f>
        <v>31</v>
      </c>
      <c r="D79">
        <f>ROUND(D$62/D25,)</f>
        <v>45</v>
      </c>
    </row>
    <row r="80" spans="1:13" outlineLevel="1">
      <c r="A80" s="77" t="s">
        <v>175</v>
      </c>
      <c r="B80">
        <f>ROUND(B$62/B26,0)</f>
        <v>-12</v>
      </c>
      <c r="C80">
        <f>ROUND(C$62/C26,0)</f>
        <v>8</v>
      </c>
      <c r="D80">
        <f>ROUND(D$62/D26,0)</f>
        <v>4</v>
      </c>
    </row>
    <row r="81" spans="1:13" outlineLevel="1">
      <c r="A81" s="77" t="s">
        <v>176</v>
      </c>
      <c r="B81" s="254">
        <f>B59/B27</f>
        <v>2.1634615384615384E-2</v>
      </c>
      <c r="C81" s="254">
        <f>C59/C27</f>
        <v>1.489795918367347</v>
      </c>
      <c r="D81" s="254">
        <f>D59/D27</f>
        <v>1.8461538461538463</v>
      </c>
    </row>
    <row r="82" spans="1:13" outlineLevel="1">
      <c r="A82" s="77" t="s">
        <v>177</v>
      </c>
      <c r="B82">
        <f>ROUND(B$62/B28,0)</f>
        <v>-38</v>
      </c>
      <c r="C82">
        <f>ROUND(C$62/C28,0)</f>
        <v>26</v>
      </c>
      <c r="D82">
        <f>ROUND(D$62/D28,0)</f>
        <v>38</v>
      </c>
    </row>
    <row r="83" spans="1:13" outlineLevel="1">
      <c r="A83" s="69" t="s">
        <v>114</v>
      </c>
    </row>
    <row r="84" spans="1:13" outlineLevel="1"/>
    <row r="85" spans="1:13" outlineLevel="1"/>
    <row r="87" spans="1:13" ht="18" thickBot="1">
      <c r="A87" s="274" t="s">
        <v>191</v>
      </c>
      <c r="B87" s="102"/>
      <c r="C87" s="102"/>
      <c r="D87" s="102"/>
      <c r="E87" s="102"/>
      <c r="F87" s="102"/>
      <c r="G87" s="102"/>
    </row>
    <row r="88" spans="1:13" outlineLevel="1">
      <c r="A88" s="20" t="s">
        <v>534</v>
      </c>
      <c r="J88" s="857" t="str">
        <f>A88</f>
        <v>Gross intangibles</v>
      </c>
      <c r="K88" s="858"/>
      <c r="L88" s="858"/>
      <c r="M88" s="859"/>
    </row>
    <row r="89" spans="1:13" outlineLevel="1">
      <c r="A89" s="77" t="s">
        <v>179</v>
      </c>
      <c r="B89">
        <v>66</v>
      </c>
      <c r="C89">
        <v>84</v>
      </c>
      <c r="D89">
        <v>89</v>
      </c>
      <c r="J89" s="432"/>
      <c r="K89" s="626">
        <v>2019</v>
      </c>
      <c r="L89" s="626">
        <v>2020</v>
      </c>
      <c r="M89" s="627">
        <v>2021</v>
      </c>
    </row>
    <row r="90" spans="1:13" outlineLevel="1">
      <c r="A90" s="77" t="s">
        <v>180</v>
      </c>
      <c r="B90">
        <v>709</v>
      </c>
      <c r="C90">
        <v>712</v>
      </c>
      <c r="D90">
        <v>712</v>
      </c>
      <c r="J90" s="432" t="str">
        <f t="shared" ref="J90:M93" si="26">A89</f>
        <v>Software</v>
      </c>
      <c r="K90" s="256">
        <f t="shared" si="26"/>
        <v>66</v>
      </c>
      <c r="L90" s="256">
        <f t="shared" si="26"/>
        <v>84</v>
      </c>
      <c r="M90" s="433">
        <f t="shared" si="26"/>
        <v>89</v>
      </c>
    </row>
    <row r="91" spans="1:13" outlineLevel="1">
      <c r="A91" s="77" t="s">
        <v>181</v>
      </c>
      <c r="B91">
        <v>1644</v>
      </c>
      <c r="C91">
        <v>1644</v>
      </c>
      <c r="D91">
        <v>1644</v>
      </c>
      <c r="J91" s="432" t="str">
        <f t="shared" si="26"/>
        <v>Goodwill</v>
      </c>
      <c r="K91" s="256">
        <f t="shared" si="26"/>
        <v>709</v>
      </c>
      <c r="L91" s="256">
        <f t="shared" si="26"/>
        <v>712</v>
      </c>
      <c r="M91" s="433">
        <f t="shared" si="26"/>
        <v>712</v>
      </c>
    </row>
    <row r="92" spans="1:13" outlineLevel="1">
      <c r="A92" s="77" t="s">
        <v>182</v>
      </c>
      <c r="B92">
        <v>17</v>
      </c>
      <c r="C92">
        <v>17</v>
      </c>
      <c r="D92">
        <v>18</v>
      </c>
      <c r="J92" s="432" t="str">
        <f t="shared" si="26"/>
        <v>Non-compete agreement</v>
      </c>
      <c r="K92" s="256">
        <f t="shared" si="26"/>
        <v>1644</v>
      </c>
      <c r="L92" s="256">
        <f t="shared" si="26"/>
        <v>1644</v>
      </c>
      <c r="M92" s="433">
        <f t="shared" si="26"/>
        <v>1644</v>
      </c>
    </row>
    <row r="93" spans="1:13" ht="15.75" outlineLevel="1" thickBot="1">
      <c r="A93" s="20" t="s">
        <v>114</v>
      </c>
      <c r="B93" s="20">
        <f>SUM(B89:B92)</f>
        <v>2436</v>
      </c>
      <c r="C93" s="20">
        <f>SUM(C89:C92)</f>
        <v>2457</v>
      </c>
      <c r="D93" s="20">
        <f>SUM(D89:D92)</f>
        <v>2463</v>
      </c>
      <c r="J93" s="476" t="str">
        <f t="shared" si="26"/>
        <v>other intangible assets</v>
      </c>
      <c r="K93" s="477">
        <f t="shared" si="26"/>
        <v>17</v>
      </c>
      <c r="L93" s="477">
        <f t="shared" si="26"/>
        <v>17</v>
      </c>
      <c r="M93" s="628">
        <f t="shared" si="26"/>
        <v>18</v>
      </c>
    </row>
    <row r="94" spans="1:13" outlineLevel="1">
      <c r="J94" s="920" t="str">
        <f>A95</f>
        <v>Net Additions</v>
      </c>
      <c r="K94" s="921"/>
      <c r="L94" s="921"/>
      <c r="M94" s="922"/>
    </row>
    <row r="95" spans="1:13" outlineLevel="1">
      <c r="A95" s="69" t="s">
        <v>519</v>
      </c>
      <c r="J95" s="432" t="str">
        <f>A96</f>
        <v>Software</v>
      </c>
      <c r="K95" s="256">
        <f t="shared" ref="K95:M98" si="27">B96</f>
        <v>0</v>
      </c>
      <c r="L95" s="256">
        <f t="shared" si="27"/>
        <v>18</v>
      </c>
      <c r="M95" s="433">
        <f t="shared" si="27"/>
        <v>5</v>
      </c>
    </row>
    <row r="96" spans="1:13" outlineLevel="1">
      <c r="A96" s="77" t="s">
        <v>179</v>
      </c>
      <c r="C96">
        <f t="shared" ref="C96:D99" si="28">C89-B89</f>
        <v>18</v>
      </c>
      <c r="D96">
        <f t="shared" si="28"/>
        <v>5</v>
      </c>
      <c r="J96" s="432" t="str">
        <f>A97</f>
        <v>Goodwill</v>
      </c>
      <c r="K96" s="256">
        <f t="shared" si="27"/>
        <v>0</v>
      </c>
      <c r="L96" s="256">
        <f t="shared" si="27"/>
        <v>3</v>
      </c>
      <c r="M96" s="433">
        <f t="shared" si="27"/>
        <v>0</v>
      </c>
    </row>
    <row r="97" spans="1:13" outlineLevel="1">
      <c r="A97" s="77" t="s">
        <v>180</v>
      </c>
      <c r="C97">
        <f t="shared" si="28"/>
        <v>3</v>
      </c>
      <c r="D97">
        <f t="shared" si="28"/>
        <v>0</v>
      </c>
      <c r="J97" s="432" t="str">
        <f>A98</f>
        <v>Non-compete agreement</v>
      </c>
      <c r="K97" s="256">
        <f t="shared" si="27"/>
        <v>0</v>
      </c>
      <c r="L97" s="256">
        <f t="shared" si="27"/>
        <v>0</v>
      </c>
      <c r="M97" s="433">
        <f t="shared" si="27"/>
        <v>0</v>
      </c>
    </row>
    <row r="98" spans="1:13" outlineLevel="1">
      <c r="A98" s="77" t="s">
        <v>181</v>
      </c>
      <c r="C98">
        <f t="shared" si="28"/>
        <v>0</v>
      </c>
      <c r="D98">
        <f t="shared" si="28"/>
        <v>0</v>
      </c>
      <c r="J98" s="432" t="str">
        <f>A99</f>
        <v>other intangible assets</v>
      </c>
      <c r="K98" s="256">
        <f t="shared" si="27"/>
        <v>0</v>
      </c>
      <c r="L98" s="256">
        <f t="shared" si="27"/>
        <v>0</v>
      </c>
      <c r="M98" s="433">
        <f t="shared" si="27"/>
        <v>1</v>
      </c>
    </row>
    <row r="99" spans="1:13" outlineLevel="1">
      <c r="A99" s="77" t="s">
        <v>182</v>
      </c>
      <c r="C99">
        <f t="shared" si="28"/>
        <v>0</v>
      </c>
      <c r="D99">
        <f t="shared" si="28"/>
        <v>1</v>
      </c>
      <c r="J99" s="915" t="str">
        <f>A102</f>
        <v>Accumulated amortization</v>
      </c>
      <c r="K99" s="916"/>
      <c r="L99" s="916"/>
      <c r="M99" s="917"/>
    </row>
    <row r="100" spans="1:13" outlineLevel="1">
      <c r="A100" s="20" t="s">
        <v>114</v>
      </c>
      <c r="J100" s="432" t="str">
        <f>A103</f>
        <v>Software</v>
      </c>
      <c r="K100" s="256">
        <f t="shared" ref="K100:M103" si="29">B103</f>
        <v>27</v>
      </c>
      <c r="L100" s="256">
        <f t="shared" si="29"/>
        <v>43</v>
      </c>
      <c r="M100" s="433">
        <f t="shared" si="29"/>
        <v>63</v>
      </c>
    </row>
    <row r="101" spans="1:13" outlineLevel="1">
      <c r="A101" s="20"/>
      <c r="J101" s="432" t="str">
        <f>A104</f>
        <v>Goodwill</v>
      </c>
      <c r="K101" s="256">
        <f t="shared" si="29"/>
        <v>28</v>
      </c>
      <c r="L101" s="256">
        <f t="shared" si="29"/>
        <v>56</v>
      </c>
      <c r="M101" s="433">
        <f t="shared" si="29"/>
        <v>65</v>
      </c>
    </row>
    <row r="102" spans="1:13" outlineLevel="1">
      <c r="A102" s="20" t="s">
        <v>535</v>
      </c>
      <c r="J102" s="432" t="str">
        <f>A105</f>
        <v>Non-compete agreement</v>
      </c>
      <c r="K102" s="256">
        <f t="shared" si="29"/>
        <v>1188</v>
      </c>
      <c r="L102" s="256">
        <f t="shared" si="29"/>
        <v>1430</v>
      </c>
      <c r="M102" s="433">
        <f t="shared" si="29"/>
        <v>1644</v>
      </c>
    </row>
    <row r="103" spans="1:13" outlineLevel="1">
      <c r="A103" s="77" t="s">
        <v>179</v>
      </c>
      <c r="B103">
        <v>27</v>
      </c>
      <c r="C103">
        <v>43</v>
      </c>
      <c r="D103">
        <v>63</v>
      </c>
      <c r="J103" s="645" t="str">
        <f>A106</f>
        <v>other intangible assets</v>
      </c>
      <c r="K103" s="407">
        <f t="shared" si="29"/>
        <v>13</v>
      </c>
      <c r="L103" s="407">
        <f t="shared" si="29"/>
        <v>15</v>
      </c>
      <c r="M103" s="646">
        <f t="shared" si="29"/>
        <v>16</v>
      </c>
    </row>
    <row r="104" spans="1:13" ht="15.75" outlineLevel="1" thickBot="1">
      <c r="A104" s="77" t="s">
        <v>180</v>
      </c>
      <c r="B104">
        <v>28</v>
      </c>
      <c r="C104">
        <v>56</v>
      </c>
      <c r="D104">
        <v>65</v>
      </c>
    </row>
    <row r="105" spans="1:13" outlineLevel="1">
      <c r="A105" s="77" t="s">
        <v>181</v>
      </c>
      <c r="B105">
        <v>1188</v>
      </c>
      <c r="C105">
        <v>1430</v>
      </c>
      <c r="D105">
        <v>1644</v>
      </c>
      <c r="J105" s="923" t="str">
        <f>A109</f>
        <v>Carrying Value</v>
      </c>
      <c r="K105" s="924"/>
      <c r="L105" s="924"/>
      <c r="M105" s="925"/>
    </row>
    <row r="106" spans="1:13" outlineLevel="1">
      <c r="A106" s="77" t="s">
        <v>182</v>
      </c>
      <c r="B106">
        <v>13</v>
      </c>
      <c r="C106">
        <v>15</v>
      </c>
      <c r="D106">
        <v>16</v>
      </c>
      <c r="J106" s="537"/>
      <c r="K106" s="605">
        <v>2019</v>
      </c>
      <c r="L106" s="605">
        <v>2020</v>
      </c>
      <c r="M106" s="606">
        <v>2021</v>
      </c>
    </row>
    <row r="107" spans="1:13" outlineLevel="1">
      <c r="A107" s="20" t="s">
        <v>114</v>
      </c>
      <c r="B107" s="20">
        <f>SUM(B103:B106)</f>
        <v>1256</v>
      </c>
      <c r="C107" s="20">
        <f>SUM(C103:C106)</f>
        <v>1544</v>
      </c>
      <c r="D107" s="20">
        <f>SUM(D103:D106)</f>
        <v>1788</v>
      </c>
      <c r="J107" s="537" t="str">
        <f t="shared" ref="J107:M110" si="30">A110</f>
        <v>Software</v>
      </c>
      <c r="K107" s="206">
        <f t="shared" si="30"/>
        <v>39</v>
      </c>
      <c r="L107" s="206">
        <f t="shared" si="30"/>
        <v>41</v>
      </c>
      <c r="M107" s="538">
        <f t="shared" si="30"/>
        <v>26</v>
      </c>
    </row>
    <row r="108" spans="1:13" ht="15.75" outlineLevel="1" thickBot="1">
      <c r="J108" s="537" t="str">
        <f t="shared" si="30"/>
        <v>Goodwill</v>
      </c>
      <c r="K108" s="206">
        <f t="shared" si="30"/>
        <v>681</v>
      </c>
      <c r="L108" s="206">
        <f t="shared" si="30"/>
        <v>656</v>
      </c>
      <c r="M108" s="538">
        <f t="shared" si="30"/>
        <v>647</v>
      </c>
    </row>
    <row r="109" spans="1:13" outlineLevel="1">
      <c r="A109" s="120" t="s">
        <v>521</v>
      </c>
      <c r="B109" s="248"/>
      <c r="C109" s="248"/>
      <c r="D109" s="249"/>
      <c r="J109" s="537" t="str">
        <f t="shared" si="30"/>
        <v>Non-compete agreement</v>
      </c>
      <c r="K109" s="206">
        <f t="shared" si="30"/>
        <v>456</v>
      </c>
      <c r="L109" s="206">
        <f t="shared" si="30"/>
        <v>214</v>
      </c>
      <c r="M109" s="538">
        <f t="shared" si="30"/>
        <v>0</v>
      </c>
    </row>
    <row r="110" spans="1:13" ht="15.75" outlineLevel="1" thickBot="1">
      <c r="A110" s="250" t="s">
        <v>179</v>
      </c>
      <c r="B110">
        <f>B89-B103</f>
        <v>39</v>
      </c>
      <c r="C110">
        <f>C89-C103</f>
        <v>41</v>
      </c>
      <c r="D110" s="8">
        <f>D89-D103</f>
        <v>26</v>
      </c>
      <c r="J110" s="602" t="str">
        <f t="shared" si="30"/>
        <v>other intangible assets</v>
      </c>
      <c r="K110" s="603">
        <f t="shared" si="30"/>
        <v>4</v>
      </c>
      <c r="L110" s="603">
        <f t="shared" si="30"/>
        <v>2</v>
      </c>
      <c r="M110" s="604">
        <f t="shared" si="30"/>
        <v>2</v>
      </c>
    </row>
    <row r="111" spans="1:13" outlineLevel="1">
      <c r="A111" s="250" t="s">
        <v>180</v>
      </c>
      <c r="B111">
        <f t="shared" ref="B111:D111" si="31">B90-B104</f>
        <v>681</v>
      </c>
      <c r="C111">
        <f t="shared" si="31"/>
        <v>656</v>
      </c>
      <c r="D111" s="8">
        <f t="shared" si="31"/>
        <v>647</v>
      </c>
    </row>
    <row r="112" spans="1:13" outlineLevel="1">
      <c r="A112" s="250" t="s">
        <v>181</v>
      </c>
      <c r="B112">
        <f t="shared" ref="B112:D112" si="32">B91-B105</f>
        <v>456</v>
      </c>
      <c r="C112">
        <f t="shared" si="32"/>
        <v>214</v>
      </c>
      <c r="D112" s="8">
        <f t="shared" si="32"/>
        <v>0</v>
      </c>
    </row>
    <row r="113" spans="1:11" outlineLevel="1">
      <c r="A113" s="250" t="s">
        <v>182</v>
      </c>
      <c r="B113">
        <f t="shared" ref="B113:D113" si="33">B92-B106</f>
        <v>4</v>
      </c>
      <c r="C113">
        <f t="shared" si="33"/>
        <v>2</v>
      </c>
      <c r="D113" s="8">
        <f t="shared" si="33"/>
        <v>2</v>
      </c>
    </row>
    <row r="114" spans="1:11" ht="15.75" outlineLevel="1" thickBot="1">
      <c r="A114" s="125" t="s">
        <v>114</v>
      </c>
      <c r="B114" s="251">
        <f>SUM(B110:B113)</f>
        <v>1180</v>
      </c>
      <c r="C114" s="251">
        <f>SUM(C110:C113)</f>
        <v>913</v>
      </c>
      <c r="D114" s="126">
        <f>SUM(D110:D113)</f>
        <v>675</v>
      </c>
    </row>
    <row r="115" spans="1:11" outlineLevel="1"/>
    <row r="116" spans="1:11" outlineLevel="1">
      <c r="A116" s="69" t="s">
        <v>536</v>
      </c>
    </row>
    <row r="117" spans="1:11" outlineLevel="1">
      <c r="A117" s="77" t="s">
        <v>179</v>
      </c>
      <c r="C117">
        <f>C103-B103</f>
        <v>16</v>
      </c>
      <c r="D117">
        <f>D103-C103</f>
        <v>20</v>
      </c>
    </row>
    <row r="118" spans="1:11" outlineLevel="1">
      <c r="A118" s="77" t="s">
        <v>180</v>
      </c>
      <c r="C118">
        <f t="shared" ref="C118:D118" si="34">C104-B104</f>
        <v>28</v>
      </c>
      <c r="D118">
        <f t="shared" si="34"/>
        <v>9</v>
      </c>
    </row>
    <row r="119" spans="1:11" outlineLevel="1">
      <c r="A119" s="77" t="s">
        <v>181</v>
      </c>
      <c r="C119">
        <f t="shared" ref="C119:D119" si="35">C105-B105</f>
        <v>242</v>
      </c>
      <c r="D119">
        <f t="shared" si="35"/>
        <v>214</v>
      </c>
    </row>
    <row r="120" spans="1:11" outlineLevel="1">
      <c r="A120" s="77" t="s">
        <v>182</v>
      </c>
      <c r="C120">
        <f t="shared" ref="C120:D120" si="36">C106-B106</f>
        <v>2</v>
      </c>
      <c r="D120">
        <f t="shared" si="36"/>
        <v>1</v>
      </c>
    </row>
    <row r="121" spans="1:11" outlineLevel="1">
      <c r="A121" s="80" t="s">
        <v>114</v>
      </c>
      <c r="C121" s="20">
        <f>C107-B107</f>
        <v>288</v>
      </c>
      <c r="D121" s="20">
        <f>D107-C107</f>
        <v>244</v>
      </c>
    </row>
    <row r="122" spans="1:11" outlineLevel="1">
      <c r="A122" s="20"/>
    </row>
    <row r="123" spans="1:11" outlineLevel="1">
      <c r="A123" s="69" t="s">
        <v>524</v>
      </c>
    </row>
    <row r="124" spans="1:11" outlineLevel="1">
      <c r="A124" s="77" t="s">
        <v>179</v>
      </c>
      <c r="C124" s="86">
        <f>(C117*2)/(B89+C89)</f>
        <v>0.21333333333333335</v>
      </c>
      <c r="D124" s="86">
        <f>(D117*2)/(C89+D89)</f>
        <v>0.23121387283236994</v>
      </c>
    </row>
    <row r="125" spans="1:11" outlineLevel="1">
      <c r="A125" s="77" t="s">
        <v>180</v>
      </c>
      <c r="C125" s="86">
        <f t="shared" ref="C125:D125" si="37">(C118*2)/(B90+C90)</f>
        <v>3.9408866995073892E-2</v>
      </c>
      <c r="D125" s="86">
        <f t="shared" si="37"/>
        <v>1.2640449438202247E-2</v>
      </c>
    </row>
    <row r="126" spans="1:11" outlineLevel="1">
      <c r="A126" s="77" t="s">
        <v>181</v>
      </c>
      <c r="C126" s="86">
        <f t="shared" ref="C126:D126" si="38">(C119*2)/(B91+C91)</f>
        <v>0.14720194647201945</v>
      </c>
      <c r="D126" s="86">
        <f t="shared" si="38"/>
        <v>0.13017031630170317</v>
      </c>
    </row>
    <row r="127" spans="1:11" ht="15.75" outlineLevel="1" thickBot="1">
      <c r="A127" s="77" t="s">
        <v>182</v>
      </c>
      <c r="C127" s="86">
        <f t="shared" ref="C127:D127" si="39">(C120*2)/(B92+C92)</f>
        <v>0.11764705882352941</v>
      </c>
      <c r="D127" s="86">
        <f t="shared" si="39"/>
        <v>5.7142857142857141E-2</v>
      </c>
    </row>
    <row r="128" spans="1:11">
      <c r="J128" s="918" t="str">
        <f>A129</f>
        <v>Implied useful lives</v>
      </c>
      <c r="K128" s="919"/>
    </row>
    <row r="129" spans="1:12" ht="15.75" thickBot="1">
      <c r="A129" s="69" t="s">
        <v>525</v>
      </c>
      <c r="J129" s="537" t="str">
        <f>A130</f>
        <v>Software</v>
      </c>
      <c r="K129" s="538">
        <f>D130</f>
        <v>4.5</v>
      </c>
    </row>
    <row r="130" spans="1:12">
      <c r="A130" s="77" t="s">
        <v>179</v>
      </c>
      <c r="D130" s="242">
        <f>ROUND(1/AVERAGE(C124,D124),1)</f>
        <v>4.5</v>
      </c>
      <c r="J130" s="537" t="str">
        <f t="shared" ref="J130:J132" si="40">A131</f>
        <v>Goodwill</v>
      </c>
      <c r="K130" s="538">
        <f t="shared" ref="K130:K132" si="41">D131</f>
        <v>38.4</v>
      </c>
      <c r="L130" t="e">
        <v>#N/A</v>
      </c>
    </row>
    <row r="131" spans="1:12">
      <c r="A131" s="77" t="s">
        <v>180</v>
      </c>
      <c r="D131" s="243">
        <f>ROUND(1/AVERAGE(C125,D125),1)</f>
        <v>38.4</v>
      </c>
      <c r="J131" s="537" t="str">
        <f t="shared" si="40"/>
        <v>Non-compete agreement</v>
      </c>
      <c r="K131" s="538">
        <f t="shared" si="41"/>
        <v>7.2</v>
      </c>
      <c r="L131" t="e">
        <v>#N/A</v>
      </c>
    </row>
    <row r="132" spans="1:12" ht="15.75" thickBot="1">
      <c r="A132" s="77" t="s">
        <v>181</v>
      </c>
      <c r="D132" s="243">
        <f>ROUND(1/AVERAGE(C126,D126),1)</f>
        <v>7.2</v>
      </c>
      <c r="J132" s="602" t="str">
        <f t="shared" si="40"/>
        <v>other intangible assets</v>
      </c>
      <c r="K132" s="604">
        <f t="shared" si="41"/>
        <v>11.4</v>
      </c>
      <c r="L132" t="e">
        <v>#N/A</v>
      </c>
    </row>
    <row r="133" spans="1:12" ht="15.75" thickBot="1">
      <c r="A133" s="77" t="s">
        <v>182</v>
      </c>
      <c r="D133" s="244">
        <f>ROUND(1/AVERAGE(C127,D127),1)</f>
        <v>11.4</v>
      </c>
    </row>
    <row r="134" spans="1:12" outlineLevel="1"/>
    <row r="135" spans="1:12" outlineLevel="1">
      <c r="A135" s="69" t="s">
        <v>526</v>
      </c>
    </row>
    <row r="136" spans="1:12" outlineLevel="1">
      <c r="A136" s="77" t="s">
        <v>527</v>
      </c>
      <c r="B136" s="2">
        <f t="shared" ref="B136:G140" si="42">B58</f>
        <v>-638</v>
      </c>
      <c r="C136">
        <f t="shared" si="42"/>
        <v>5</v>
      </c>
      <c r="D136">
        <f t="shared" si="42"/>
        <v>148</v>
      </c>
      <c r="E136">
        <f t="shared" si="42"/>
        <v>91</v>
      </c>
      <c r="F136">
        <f t="shared" si="42"/>
        <v>134</v>
      </c>
      <c r="G136">
        <f t="shared" si="42"/>
        <v>171</v>
      </c>
    </row>
    <row r="137" spans="1:12" outlineLevel="1">
      <c r="A137" s="77" t="s">
        <v>528</v>
      </c>
      <c r="B137">
        <f t="shared" si="42"/>
        <v>9</v>
      </c>
      <c r="C137">
        <f t="shared" si="42"/>
        <v>438</v>
      </c>
      <c r="D137">
        <f t="shared" si="42"/>
        <v>456</v>
      </c>
      <c r="E137">
        <f t="shared" si="42"/>
        <v>112</v>
      </c>
      <c r="F137">
        <f t="shared" si="42"/>
        <v>161</v>
      </c>
      <c r="G137">
        <f t="shared" si="42"/>
        <v>176</v>
      </c>
    </row>
    <row r="138" spans="1:12" outlineLevel="1">
      <c r="A138" s="77" t="s">
        <v>529</v>
      </c>
      <c r="B138">
        <f t="shared" si="42"/>
        <v>-229</v>
      </c>
      <c r="C138">
        <f t="shared" si="42"/>
        <v>-10</v>
      </c>
      <c r="D138">
        <f t="shared" si="42"/>
        <v>27</v>
      </c>
      <c r="E138">
        <f t="shared" si="42"/>
        <v>11</v>
      </c>
      <c r="F138">
        <f t="shared" si="42"/>
        <v>12.5</v>
      </c>
      <c r="G138">
        <f t="shared" si="42"/>
        <v>20</v>
      </c>
    </row>
    <row r="139" spans="1:12" outlineLevel="1">
      <c r="A139" s="77" t="s">
        <v>530</v>
      </c>
      <c r="B139">
        <f t="shared" si="42"/>
        <v>13</v>
      </c>
      <c r="C139">
        <f t="shared" si="42"/>
        <v>36</v>
      </c>
      <c r="D139">
        <f t="shared" si="42"/>
        <v>44</v>
      </c>
      <c r="E139">
        <f t="shared" si="42"/>
        <v>14</v>
      </c>
      <c r="F139">
        <f t="shared" si="42"/>
        <v>13.5</v>
      </c>
      <c r="G139">
        <f t="shared" si="42"/>
        <v>15</v>
      </c>
    </row>
    <row r="140" spans="1:12" outlineLevel="1">
      <c r="A140" s="69" t="s">
        <v>114</v>
      </c>
      <c r="B140" s="20">
        <f t="shared" si="42"/>
        <v>-845</v>
      </c>
      <c r="C140" s="20">
        <f t="shared" si="42"/>
        <v>469</v>
      </c>
      <c r="D140" s="20">
        <f t="shared" si="42"/>
        <v>675</v>
      </c>
      <c r="E140" s="20">
        <f t="shared" si="42"/>
        <v>228</v>
      </c>
      <c r="F140" s="20">
        <f t="shared" si="42"/>
        <v>321</v>
      </c>
      <c r="G140" s="20">
        <f t="shared" si="42"/>
        <v>382</v>
      </c>
    </row>
    <row r="141" spans="1:12" outlineLevel="1"/>
    <row r="142" spans="1:12" outlineLevel="1">
      <c r="A142" s="69" t="s">
        <v>531</v>
      </c>
    </row>
    <row r="143" spans="1:12" outlineLevel="1">
      <c r="A143" s="77" t="s">
        <v>527</v>
      </c>
      <c r="B143">
        <f t="shared" ref="B143:G147" si="43">B65</f>
        <v>2947</v>
      </c>
      <c r="C143">
        <f t="shared" si="43"/>
        <v>5468</v>
      </c>
      <c r="D143">
        <f t="shared" si="43"/>
        <v>8530</v>
      </c>
      <c r="E143">
        <f t="shared" si="43"/>
        <v>2562</v>
      </c>
      <c r="F143">
        <f t="shared" si="43"/>
        <v>2476</v>
      </c>
      <c r="G143">
        <f t="shared" si="43"/>
        <v>2439</v>
      </c>
    </row>
    <row r="144" spans="1:12" outlineLevel="1">
      <c r="A144" s="77" t="s">
        <v>528</v>
      </c>
      <c r="B144">
        <f t="shared" si="43"/>
        <v>5715</v>
      </c>
      <c r="C144">
        <f t="shared" si="43"/>
        <v>3232</v>
      </c>
      <c r="D144">
        <f t="shared" si="43"/>
        <v>2787</v>
      </c>
      <c r="E144">
        <f t="shared" si="43"/>
        <v>834</v>
      </c>
      <c r="F144">
        <f t="shared" si="43"/>
        <v>1035</v>
      </c>
      <c r="G144">
        <f t="shared" si="43"/>
        <v>1086</v>
      </c>
    </row>
    <row r="145" spans="1:7" outlineLevel="1">
      <c r="A145" s="77" t="s">
        <v>529</v>
      </c>
      <c r="B145">
        <f t="shared" si="43"/>
        <v>3579</v>
      </c>
      <c r="C145">
        <f t="shared" si="43"/>
        <v>3748</v>
      </c>
      <c r="D145">
        <f t="shared" si="43"/>
        <v>4591</v>
      </c>
      <c r="E145">
        <f t="shared" si="43"/>
        <v>1357</v>
      </c>
      <c r="F145">
        <f t="shared" si="43"/>
        <v>1493</v>
      </c>
      <c r="G145">
        <f t="shared" si="43"/>
        <v>1507</v>
      </c>
    </row>
    <row r="146" spans="1:7" outlineLevel="1">
      <c r="A146" s="77" t="s">
        <v>530</v>
      </c>
      <c r="B146">
        <f t="shared" si="43"/>
        <v>9</v>
      </c>
      <c r="C146">
        <f t="shared" si="43"/>
        <v>44</v>
      </c>
      <c r="D146">
        <f t="shared" si="43"/>
        <v>153</v>
      </c>
      <c r="E146">
        <f t="shared" si="43"/>
        <v>52</v>
      </c>
      <c r="F146">
        <f t="shared" si="43"/>
        <v>52</v>
      </c>
      <c r="G146">
        <f t="shared" si="43"/>
        <v>48</v>
      </c>
    </row>
    <row r="147" spans="1:7" outlineLevel="1">
      <c r="A147" s="69" t="s">
        <v>114</v>
      </c>
      <c r="B147" s="20">
        <f t="shared" si="43"/>
        <v>12250</v>
      </c>
      <c r="C147" s="20">
        <f t="shared" si="43"/>
        <v>12492</v>
      </c>
      <c r="D147" s="20">
        <f t="shared" si="43"/>
        <v>16061</v>
      </c>
      <c r="E147" s="20">
        <f t="shared" si="43"/>
        <v>4805</v>
      </c>
      <c r="F147" s="20">
        <f t="shared" si="43"/>
        <v>5056</v>
      </c>
      <c r="G147" s="20">
        <f t="shared" si="43"/>
        <v>5080</v>
      </c>
    </row>
    <row r="149" spans="1:7">
      <c r="A149" s="69" t="s">
        <v>537</v>
      </c>
    </row>
    <row r="150" spans="1:7">
      <c r="A150" s="77" t="s">
        <v>179</v>
      </c>
      <c r="B150" s="257">
        <f t="shared" ref="B150:D153" si="44">B$147/B110</f>
        <v>314.10256410256409</v>
      </c>
      <c r="C150" s="257">
        <f t="shared" si="44"/>
        <v>304.6829268292683</v>
      </c>
      <c r="D150" s="257">
        <f t="shared" si="44"/>
        <v>617.73076923076928</v>
      </c>
    </row>
    <row r="151" spans="1:7">
      <c r="A151" s="77" t="s">
        <v>180</v>
      </c>
      <c r="B151" s="257">
        <f t="shared" si="44"/>
        <v>17.988252569750369</v>
      </c>
      <c r="C151" s="257">
        <f t="shared" si="44"/>
        <v>19.042682926829269</v>
      </c>
      <c r="D151" s="257">
        <f t="shared" si="44"/>
        <v>24.823802163833076</v>
      </c>
    </row>
    <row r="152" spans="1:7">
      <c r="A152" s="77" t="s">
        <v>181</v>
      </c>
      <c r="B152" s="257">
        <f t="shared" si="44"/>
        <v>26.864035087719298</v>
      </c>
      <c r="C152" s="257">
        <f t="shared" si="44"/>
        <v>58.373831775700936</v>
      </c>
      <c r="D152" s="257" t="e">
        <f t="shared" si="44"/>
        <v>#DIV/0!</v>
      </c>
    </row>
    <row r="153" spans="1:7">
      <c r="A153" s="77" t="s">
        <v>182</v>
      </c>
      <c r="B153" s="257">
        <f t="shared" si="44"/>
        <v>3062.5</v>
      </c>
      <c r="C153" s="257">
        <f t="shared" si="44"/>
        <v>6246</v>
      </c>
      <c r="D153" s="257">
        <f t="shared" si="44"/>
        <v>8030.5</v>
      </c>
    </row>
    <row r="154" spans="1:7">
      <c r="A154" s="69"/>
    </row>
    <row r="156" spans="1:7" ht="17.25">
      <c r="A156" s="274" t="s">
        <v>538</v>
      </c>
      <c r="B156" s="78"/>
      <c r="C156" s="78"/>
      <c r="D156" s="78"/>
    </row>
    <row r="157" spans="1:7" ht="15.75" thickBot="1"/>
    <row r="158" spans="1:7">
      <c r="A158" s="120" t="s">
        <v>539</v>
      </c>
      <c r="B158" s="248"/>
      <c r="C158" s="248"/>
      <c r="D158" s="249"/>
    </row>
    <row r="159" spans="1:7">
      <c r="A159" s="250" t="s">
        <v>540</v>
      </c>
      <c r="B159">
        <f>SUM(Rates!B20,Rates!B21)</f>
        <v>8662</v>
      </c>
      <c r="C159">
        <f>SUM(Rates!C20,Rates!C21)</f>
        <v>8700</v>
      </c>
      <c r="D159" s="8">
        <f>SUM(Rates!D20,Rates!D21)</f>
        <v>11317</v>
      </c>
    </row>
    <row r="160" spans="1:7" ht="15.75" thickBot="1">
      <c r="A160" s="501" t="s">
        <v>541</v>
      </c>
      <c r="B160" s="466">
        <f>SUM(Rates!B22:B23)</f>
        <v>3588</v>
      </c>
      <c r="C160" s="466">
        <f>SUM(Rates!C22:C23)</f>
        <v>3792</v>
      </c>
      <c r="D160" s="13">
        <f>SUM(Rates!D22:D23)</f>
        <v>4744</v>
      </c>
    </row>
    <row r="161" spans="1:7" ht="15.75" thickBot="1"/>
    <row r="162" spans="1:7">
      <c r="A162" s="120" t="s">
        <v>542</v>
      </c>
      <c r="B162" s="248"/>
      <c r="C162" s="248"/>
      <c r="D162" s="249"/>
    </row>
    <row r="163" spans="1:7">
      <c r="A163" s="250" t="s">
        <v>543</v>
      </c>
      <c r="B163" s="100">
        <f>0.9*B165</f>
        <v>246.6</v>
      </c>
      <c r="C163" s="100">
        <f>0.9*C165</f>
        <v>154.80000000000001</v>
      </c>
      <c r="D163" s="171">
        <f>0.9*D165</f>
        <v>229.5</v>
      </c>
      <c r="E163" t="s">
        <v>544</v>
      </c>
    </row>
    <row r="164" spans="1:7">
      <c r="A164" s="250" t="s">
        <v>545</v>
      </c>
      <c r="B164" s="100">
        <f>0.1*B165</f>
        <v>27.400000000000002</v>
      </c>
      <c r="C164" s="100">
        <f>0.1*C165</f>
        <v>17.2</v>
      </c>
      <c r="D164" s="171">
        <f>0.1*D165</f>
        <v>25.5</v>
      </c>
      <c r="E164" t="s">
        <v>546</v>
      </c>
    </row>
    <row r="165" spans="1:7" ht="15.75" thickBot="1">
      <c r="A165" s="596" t="s">
        <v>114</v>
      </c>
      <c r="B165" s="597">
        <f>Values!B40</f>
        <v>274</v>
      </c>
      <c r="C165" s="597">
        <f>Values!C40</f>
        <v>172</v>
      </c>
      <c r="D165" s="598">
        <f>Values!D40</f>
        <v>255</v>
      </c>
    </row>
    <row r="166" spans="1:7" ht="15.75" thickBot="1"/>
    <row r="167" spans="1:7">
      <c r="A167" s="120" t="s">
        <v>547</v>
      </c>
      <c r="B167" s="248"/>
      <c r="C167" s="248"/>
      <c r="D167" s="249"/>
    </row>
    <row r="168" spans="1:7">
      <c r="A168" s="250" t="s">
        <v>198</v>
      </c>
      <c r="B168" s="100">
        <f>B159/B163</f>
        <v>35.125709651257097</v>
      </c>
      <c r="C168" s="100">
        <f t="shared" ref="C168:D168" si="45">C159/C163</f>
        <v>56.201550387596896</v>
      </c>
      <c r="D168" s="171">
        <f t="shared" si="45"/>
        <v>49.311546840958606</v>
      </c>
    </row>
    <row r="169" spans="1:7" ht="15.75" thickBot="1">
      <c r="A169" s="501" t="s">
        <v>199</v>
      </c>
      <c r="B169" s="647">
        <f>B160/B164</f>
        <v>130.94890510948903</v>
      </c>
      <c r="C169" s="647">
        <f t="shared" ref="C169:D169" si="46">C160/C164</f>
        <v>220.46511627906978</v>
      </c>
      <c r="D169" s="648">
        <f t="shared" si="46"/>
        <v>186.0392156862745</v>
      </c>
    </row>
    <row r="170" spans="1:7" ht="15.75" thickBot="1"/>
    <row r="171" spans="1:7">
      <c r="A171" s="120" t="s">
        <v>197</v>
      </c>
      <c r="B171" s="249"/>
    </row>
    <row r="172" spans="1:7">
      <c r="A172" s="250" t="s">
        <v>198</v>
      </c>
      <c r="B172" s="649">
        <f>AVERAGE(B168:D168)</f>
        <v>46.879602293270864</v>
      </c>
    </row>
    <row r="173" spans="1:7" ht="15.75" thickBot="1">
      <c r="A173" s="501" t="s">
        <v>199</v>
      </c>
      <c r="B173" s="650">
        <f>AVERAGE(B169:D169)</f>
        <v>179.15107902494444</v>
      </c>
    </row>
    <row r="175" spans="1:7" ht="17.25">
      <c r="A175" s="274" t="s">
        <v>548</v>
      </c>
      <c r="B175" s="78"/>
      <c r="C175" s="78"/>
      <c r="D175" s="78"/>
      <c r="E175" s="78"/>
      <c r="F175" s="78"/>
      <c r="G175" s="78"/>
    </row>
    <row r="177" spans="1:5">
      <c r="B177" t="s">
        <v>549</v>
      </c>
      <c r="C177" t="s">
        <v>550</v>
      </c>
      <c r="D177" t="s">
        <v>551</v>
      </c>
      <c r="E177" t="s">
        <v>552</v>
      </c>
    </row>
    <row r="178" spans="1:5" ht="15.75" thickBot="1">
      <c r="A178" t="s">
        <v>553</v>
      </c>
      <c r="B178">
        <f>Rates!E24</f>
        <v>4805</v>
      </c>
      <c r="C178">
        <f>Rates!F24</f>
        <v>5055</v>
      </c>
      <c r="D178">
        <f>Rates!G24</f>
        <v>5080</v>
      </c>
    </row>
    <row r="179" spans="1:5" ht="15.75" thickBot="1">
      <c r="A179" t="s">
        <v>554</v>
      </c>
      <c r="B179" s="2">
        <f>B178/Values!E58</f>
        <v>5.9987515605493131</v>
      </c>
      <c r="C179" s="2">
        <f>C178/Values!F58</f>
        <v>6.2407407407407405</v>
      </c>
      <c r="D179" s="2">
        <f>D178/Values!G58</f>
        <v>6.0118343195266268</v>
      </c>
      <c r="E179" s="754">
        <f>AVERAGE(B179:D179)</f>
        <v>6.0837755402722271</v>
      </c>
    </row>
  </sheetData>
  <mergeCells count="11">
    <mergeCell ref="J128:K128"/>
    <mergeCell ref="J88:M88"/>
    <mergeCell ref="J94:M94"/>
    <mergeCell ref="J99:M99"/>
    <mergeCell ref="J105:M105"/>
    <mergeCell ref="J63:M63"/>
    <mergeCell ref="J70:M70"/>
    <mergeCell ref="J22:M22"/>
    <mergeCell ref="J16:M16"/>
    <mergeCell ref="J27:M27"/>
    <mergeCell ref="J33:M3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AF59A-A53A-4A82-8A9F-0EC29022AD9A}">
  <sheetPr codeName="Sheet11"/>
  <dimension ref="A1:H671"/>
  <sheetViews>
    <sheetView showGridLines="0" topLeftCell="A38" zoomScaleNormal="100" workbookViewId="0">
      <selection activeCell="H20" sqref="H20"/>
    </sheetView>
  </sheetViews>
  <sheetFormatPr defaultColWidth="8.7109375" defaultRowHeight="15" outlineLevelRow="2"/>
  <cols>
    <col min="1" max="1" width="30.28515625" customWidth="1"/>
    <col min="2" max="2" width="10.42578125" bestFit="1" customWidth="1"/>
    <col min="3" max="3" width="10.7109375" customWidth="1"/>
    <col min="4" max="4" width="28" bestFit="1" customWidth="1"/>
    <col min="5" max="5" width="29.7109375" customWidth="1"/>
    <col min="7" max="7" width="18.28515625" bestFit="1" customWidth="1"/>
    <col min="8" max="8" width="12.7109375" bestFit="1" customWidth="1"/>
  </cols>
  <sheetData>
    <row r="1" spans="1:5" ht="15.75" thickBot="1">
      <c r="A1" s="20" t="s">
        <v>555</v>
      </c>
      <c r="B1" s="117">
        <f>B4</f>
        <v>12600</v>
      </c>
      <c r="C1" t="s">
        <v>556</v>
      </c>
    </row>
    <row r="2" spans="1:5" outlineLevel="1">
      <c r="A2" t="s">
        <v>557</v>
      </c>
      <c r="B2" s="105">
        <v>3.28</v>
      </c>
      <c r="C2" t="s">
        <v>558</v>
      </c>
    </row>
    <row r="3" spans="1:5" outlineLevel="1">
      <c r="A3" t="s">
        <v>559</v>
      </c>
      <c r="B3" s="104">
        <f>Values!B109</f>
        <v>3741.98</v>
      </c>
      <c r="C3" t="s">
        <v>556</v>
      </c>
    </row>
    <row r="4" spans="1:5" ht="15.75" outlineLevel="1" thickBot="1">
      <c r="A4" t="s">
        <v>560</v>
      </c>
      <c r="B4" s="106">
        <f>12.6*1000</f>
        <v>12600</v>
      </c>
      <c r="C4" t="s">
        <v>556</v>
      </c>
    </row>
    <row r="5" spans="1:5" ht="15.75" thickBot="1"/>
    <row r="6" spans="1:5" ht="15.75" thickBot="1">
      <c r="A6" s="20" t="s">
        <v>561</v>
      </c>
      <c r="B6" s="118">
        <f>B20</f>
        <v>0.10181532233420162</v>
      </c>
    </row>
    <row r="7" spans="1:5" outlineLevel="1"/>
    <row r="8" spans="1:5" outlineLevel="1">
      <c r="A8" t="s">
        <v>562</v>
      </c>
    </row>
    <row r="9" spans="1:5" ht="15.75" outlineLevel="1" thickBot="1"/>
    <row r="10" spans="1:5" outlineLevel="1">
      <c r="A10" s="252" t="s">
        <v>563</v>
      </c>
      <c r="B10" s="673">
        <v>0.76</v>
      </c>
    </row>
    <row r="11" spans="1:5" outlineLevel="1">
      <c r="A11" s="9" t="s">
        <v>564</v>
      </c>
      <c r="B11" s="674">
        <v>1.23</v>
      </c>
    </row>
    <row r="12" spans="1:5" outlineLevel="1">
      <c r="A12" s="9" t="s">
        <v>565</v>
      </c>
      <c r="B12" s="674">
        <v>1.2542990000000001</v>
      </c>
    </row>
    <row r="13" spans="1:5" outlineLevel="1">
      <c r="A13" s="9" t="s">
        <v>566</v>
      </c>
      <c r="B13" s="674">
        <f>WACC!H112</f>
        <v>1.2203921928947294</v>
      </c>
    </row>
    <row r="14" spans="1:5" ht="15.75" outlineLevel="1" thickBot="1">
      <c r="A14" s="125" t="s">
        <v>567</v>
      </c>
      <c r="B14" s="675">
        <f>AVERAGE(B11:B13)</f>
        <v>1.2348970642982431</v>
      </c>
    </row>
    <row r="15" spans="1:5" ht="15.75" outlineLevel="1" thickBot="1"/>
    <row r="16" spans="1:5" ht="15.75" outlineLevel="1" thickBot="1">
      <c r="A16" t="s">
        <v>568</v>
      </c>
      <c r="B16" s="111">
        <v>0.09</v>
      </c>
      <c r="C16" t="s">
        <v>569</v>
      </c>
      <c r="E16" t="s">
        <v>570</v>
      </c>
    </row>
    <row r="17" spans="1:5" ht="15.75" outlineLevel="1" thickBot="1"/>
    <row r="18" spans="1:5" ht="15.75" outlineLevel="1" thickBot="1">
      <c r="A18" t="s">
        <v>571</v>
      </c>
      <c r="B18" s="112">
        <v>3.9699999999999999E-2</v>
      </c>
      <c r="C18" t="s">
        <v>572</v>
      </c>
      <c r="E18" t="s">
        <v>573</v>
      </c>
    </row>
    <row r="19" spans="1:5" ht="15.75" outlineLevel="1" thickBot="1"/>
    <row r="20" spans="1:5" ht="15.75" outlineLevel="1" thickBot="1">
      <c r="A20" t="s">
        <v>574</v>
      </c>
      <c r="B20" s="113">
        <f>B18+B14*(B16-B18)</f>
        <v>0.10181532233420162</v>
      </c>
    </row>
    <row r="21" spans="1:5" ht="15.75" thickBot="1"/>
    <row r="22" spans="1:5" ht="15.75" thickBot="1">
      <c r="A22" s="20" t="s">
        <v>575</v>
      </c>
      <c r="B22" s="841">
        <f>B26</f>
        <v>-326</v>
      </c>
      <c r="C22" t="s">
        <v>556</v>
      </c>
    </row>
    <row r="23" spans="1:5" outlineLevel="1">
      <c r="A23" t="s">
        <v>576</v>
      </c>
      <c r="B23" s="842">
        <f>Values!G56</f>
        <v>117</v>
      </c>
    </row>
    <row r="24" spans="1:5" outlineLevel="1">
      <c r="A24" t="s">
        <v>577</v>
      </c>
      <c r="B24" s="107">
        <f>Values!G62</f>
        <v>2004</v>
      </c>
    </row>
    <row r="25" spans="1:5" outlineLevel="1">
      <c r="A25" t="s">
        <v>578</v>
      </c>
      <c r="B25" s="107">
        <f>Values!G38</f>
        <v>2447</v>
      </c>
    </row>
    <row r="26" spans="1:5" ht="15.75" outlineLevel="1" thickBot="1">
      <c r="A26" t="s">
        <v>579</v>
      </c>
      <c r="B26" s="108">
        <f>B23+B24-B25</f>
        <v>-326</v>
      </c>
      <c r="C26" t="s">
        <v>556</v>
      </c>
    </row>
    <row r="27" spans="1:5" outlineLevel="1"/>
    <row r="28" spans="1:5" outlineLevel="1"/>
    <row r="29" spans="1:5" outlineLevel="1"/>
    <row r="30" spans="1:5" outlineLevel="1"/>
    <row r="31" spans="1:5" outlineLevel="1"/>
    <row r="32" spans="1:5" outlineLevel="1"/>
    <row r="33" outlineLevel="1"/>
    <row r="34" outlineLevel="1"/>
    <row r="35" outlineLevel="1"/>
    <row r="36" outlineLevel="1"/>
    <row r="37" outlineLevel="1"/>
    <row r="38" outlineLevel="1"/>
    <row r="39" outlineLevel="1"/>
    <row r="40" outlineLevel="1"/>
    <row r="41" outlineLevel="1"/>
    <row r="42" outlineLevel="1"/>
    <row r="43" outlineLevel="1"/>
    <row r="44" outlineLevel="1"/>
    <row r="45" outlineLevel="1"/>
    <row r="46" outlineLevel="1"/>
    <row r="47" outlineLevel="1"/>
    <row r="48" outlineLevel="1"/>
    <row r="49" spans="1:3" outlineLevel="1"/>
    <row r="50" spans="1:3" outlineLevel="1"/>
    <row r="51" spans="1:3" outlineLevel="1"/>
    <row r="52" spans="1:3" outlineLevel="1"/>
    <row r="53" spans="1:3" outlineLevel="1"/>
    <row r="54" spans="1:3" outlineLevel="1"/>
    <row r="55" spans="1:3" outlineLevel="1"/>
    <row r="56" spans="1:3" outlineLevel="1"/>
    <row r="57" spans="1:3" ht="15.75" thickBot="1"/>
    <row r="58" spans="1:3" ht="15.75" thickBot="1">
      <c r="A58" s="20" t="s">
        <v>580</v>
      </c>
      <c r="B58" s="119">
        <v>0.2011</v>
      </c>
      <c r="C58" t="s">
        <v>581</v>
      </c>
    </row>
    <row r="59" spans="1:3" outlineLevel="1"/>
    <row r="60" spans="1:3" outlineLevel="1">
      <c r="A60" t="s">
        <v>582</v>
      </c>
    </row>
    <row r="61" spans="1:3" outlineLevel="1">
      <c r="A61" t="s">
        <v>583</v>
      </c>
    </row>
    <row r="62" spans="1:3" outlineLevel="1"/>
    <row r="63" spans="1:3" outlineLevel="1"/>
    <row r="64" spans="1:3" outlineLevel="1"/>
    <row r="65" spans="1:2" outlineLevel="1"/>
    <row r="66" spans="1:2" outlineLevel="1"/>
    <row r="67" spans="1:2" outlineLevel="1"/>
    <row r="68" spans="1:2" outlineLevel="1"/>
    <row r="69" spans="1:2" outlineLevel="1">
      <c r="A69" t="s">
        <v>584</v>
      </c>
    </row>
    <row r="70" spans="1:2" outlineLevel="1">
      <c r="A70" t="s">
        <v>585</v>
      </c>
    </row>
    <row r="71" spans="1:2" outlineLevel="1"/>
    <row r="72" spans="1:2" outlineLevel="1"/>
    <row r="73" spans="1:2" outlineLevel="1"/>
    <row r="74" spans="1:2" outlineLevel="1"/>
    <row r="75" spans="1:2" outlineLevel="1"/>
    <row r="76" spans="1:2" outlineLevel="1"/>
    <row r="77" spans="1:2" outlineLevel="1"/>
    <row r="78" spans="1:2" outlineLevel="1"/>
    <row r="79" spans="1:2" ht="15.75" thickBot="1"/>
    <row r="80" spans="1:2" ht="15.75" thickBot="1">
      <c r="A80" s="20" t="s">
        <v>586</v>
      </c>
      <c r="B80" s="119">
        <f>B88</f>
        <v>0.15811846071420721</v>
      </c>
    </row>
    <row r="81" spans="1:8" ht="15.75" outlineLevel="1" thickBot="1"/>
    <row r="82" spans="1:8" outlineLevel="1">
      <c r="A82" s="680" t="s">
        <v>587</v>
      </c>
      <c r="B82" s="681">
        <f t="array" ref="B82:B84">TRANSPOSE(-Values!B28:D28/(Values!B56:D56+Values!B62:D62))</f>
        <v>0.12277642134635508</v>
      </c>
    </row>
    <row r="83" spans="1:8" outlineLevel="1">
      <c r="A83" s="682" t="s">
        <v>588</v>
      </c>
      <c r="B83" s="683">
        <v>0.13523325467416955</v>
      </c>
    </row>
    <row r="84" spans="1:8" outlineLevel="1">
      <c r="A84" s="682" t="s">
        <v>589</v>
      </c>
      <c r="B84" s="683">
        <v>0.78206896551724137</v>
      </c>
    </row>
    <row r="85" spans="1:8" outlineLevel="1">
      <c r="A85" s="682" t="s">
        <v>590</v>
      </c>
      <c r="B85" s="683">
        <f t="array" ref="B85:B87">-TRANSPOSE((Values!E28:G28/(Values!E56:G56+Values!E62:G62))*4)</f>
        <v>6.6130473637176043E-2</v>
      </c>
    </row>
    <row r="86" spans="1:8" outlineLevel="1">
      <c r="A86" s="682" t="s">
        <v>591</v>
      </c>
      <c r="B86" s="683">
        <v>0.31180811808118081</v>
      </c>
    </row>
    <row r="87" spans="1:8" outlineLevel="1">
      <c r="A87" s="682" t="s">
        <v>592</v>
      </c>
      <c r="B87" s="683">
        <v>0.15464403583215464</v>
      </c>
    </row>
    <row r="88" spans="1:8" ht="15.75" outlineLevel="1" thickBot="1">
      <c r="A88" s="599" t="s">
        <v>593</v>
      </c>
      <c r="B88" s="684">
        <f>(B82+B83+B85+B86+B87)/5</f>
        <v>0.15811846071420721</v>
      </c>
    </row>
    <row r="89" spans="1:8" outlineLevel="1"/>
    <row r="90" spans="1:8" ht="15.75" thickBot="1"/>
    <row r="91" spans="1:8" ht="15.75" thickBot="1">
      <c r="A91" s="69" t="s">
        <v>1</v>
      </c>
      <c r="B91" s="115">
        <f>((B1/(B1+B22))*B6)+((1-B58)*(B22/(B22+B1))*B80)</f>
        <v>0.10116445071995173</v>
      </c>
    </row>
    <row r="92" spans="1:8" ht="15.75" thickBot="1"/>
    <row r="93" spans="1:8" ht="18" thickBot="1">
      <c r="A93" s="928" t="s">
        <v>594</v>
      </c>
      <c r="B93" s="929"/>
      <c r="C93" s="929"/>
      <c r="D93" s="929"/>
      <c r="E93" s="929"/>
      <c r="F93" s="929"/>
      <c r="G93" s="929"/>
      <c r="H93" s="930"/>
    </row>
    <row r="94" spans="1:8" ht="15.75" outlineLevel="1" thickBot="1"/>
    <row r="95" spans="1:8" outlineLevel="1">
      <c r="A95" s="656" t="s">
        <v>595</v>
      </c>
      <c r="B95" s="663" t="s">
        <v>596</v>
      </c>
      <c r="C95" s="663" t="s">
        <v>597</v>
      </c>
      <c r="D95" s="663" t="s">
        <v>598</v>
      </c>
      <c r="E95" s="666" t="s">
        <v>599</v>
      </c>
      <c r="G95" s="926" t="s">
        <v>600</v>
      </c>
      <c r="H95" s="927"/>
    </row>
    <row r="96" spans="1:8" ht="15.75" outlineLevel="1" thickBot="1">
      <c r="A96" s="657">
        <v>44166</v>
      </c>
      <c r="B96" s="660">
        <v>11.89</v>
      </c>
      <c r="C96" s="661">
        <v>7556.52</v>
      </c>
      <c r="D96" s="661"/>
      <c r="E96" s="667"/>
      <c r="G96" s="121"/>
      <c r="H96" s="122"/>
    </row>
    <row r="97" spans="1:8" outlineLevel="1">
      <c r="A97" s="658">
        <v>44167</v>
      </c>
      <c r="B97" s="661">
        <v>11.82</v>
      </c>
      <c r="C97" s="661">
        <v>7570.76</v>
      </c>
      <c r="D97" s="664">
        <f t="shared" ref="D97:D160" si="0">LN(B97/B96)</f>
        <v>-5.9046987247383326E-3</v>
      </c>
      <c r="E97" s="668">
        <f t="shared" ref="E97:E160" si="1">LN(C97/C96)</f>
        <v>1.8826919586567117E-3</v>
      </c>
      <c r="G97" s="123" t="s">
        <v>601</v>
      </c>
      <c r="H97" s="124"/>
    </row>
    <row r="98" spans="1:8" outlineLevel="1">
      <c r="A98" s="658">
        <v>44168</v>
      </c>
      <c r="B98" s="661">
        <v>11.9</v>
      </c>
      <c r="C98" s="661">
        <v>7567.44</v>
      </c>
      <c r="D98" s="664">
        <f t="shared" si="0"/>
        <v>6.7453881395316551E-3</v>
      </c>
      <c r="E98" s="668">
        <f t="shared" si="1"/>
        <v>-4.3862547109024727E-4</v>
      </c>
      <c r="G98" s="671" t="s">
        <v>602</v>
      </c>
      <c r="H98" s="122">
        <v>0.28633124457899234</v>
      </c>
    </row>
    <row r="99" spans="1:8" outlineLevel="1">
      <c r="A99" s="658">
        <v>44169</v>
      </c>
      <c r="B99" s="661">
        <v>12.4</v>
      </c>
      <c r="C99" s="661">
        <v>7634.77</v>
      </c>
      <c r="D99" s="664">
        <f t="shared" si="0"/>
        <v>4.1158072493507551E-2</v>
      </c>
      <c r="E99" s="668">
        <f t="shared" si="1"/>
        <v>8.8579805497803893E-3</v>
      </c>
      <c r="G99" s="671" t="s">
        <v>603</v>
      </c>
      <c r="H99" s="122">
        <v>8.1985581622154718E-2</v>
      </c>
    </row>
    <row r="100" spans="1:8" outlineLevel="1">
      <c r="A100" s="658">
        <v>44172</v>
      </c>
      <c r="B100" s="661">
        <v>12.55</v>
      </c>
      <c r="C100" s="661">
        <v>7620</v>
      </c>
      <c r="D100" s="664">
        <f t="shared" si="0"/>
        <v>1.2024192966801812E-2</v>
      </c>
      <c r="E100" s="668">
        <f t="shared" si="1"/>
        <v>-1.9364440913102689E-3</v>
      </c>
      <c r="G100" s="671" t="s">
        <v>604</v>
      </c>
      <c r="H100" s="122">
        <v>8.0357896483186905E-2</v>
      </c>
    </row>
    <row r="101" spans="1:8" outlineLevel="1">
      <c r="A101" s="658">
        <v>44173</v>
      </c>
      <c r="B101" s="661">
        <v>12.377000000000001</v>
      </c>
      <c r="C101" s="661">
        <v>7641.43</v>
      </c>
      <c r="D101" s="664">
        <f t="shared" si="0"/>
        <v>-1.3880754019907652E-2</v>
      </c>
      <c r="E101" s="668">
        <f t="shared" si="1"/>
        <v>2.8083887401049571E-3</v>
      </c>
      <c r="G101" s="671" t="s">
        <v>605</v>
      </c>
      <c r="H101" s="122">
        <v>4.8767229578190512E-2</v>
      </c>
    </row>
    <row r="102" spans="1:8" ht="15.75" outlineLevel="1" thickBot="1">
      <c r="A102" s="658">
        <v>44174</v>
      </c>
      <c r="B102" s="661">
        <v>12.7</v>
      </c>
      <c r="C102" s="661">
        <v>7581.06</v>
      </c>
      <c r="D102" s="664">
        <f t="shared" si="0"/>
        <v>2.5762081906660149E-2</v>
      </c>
      <c r="E102" s="668">
        <f t="shared" si="1"/>
        <v>-7.9317268726627043E-3</v>
      </c>
      <c r="G102" s="670" t="s">
        <v>606</v>
      </c>
      <c r="H102" s="126">
        <v>566</v>
      </c>
    </row>
    <row r="103" spans="1:8" outlineLevel="1">
      <c r="A103" s="658">
        <v>44175</v>
      </c>
      <c r="B103" s="661">
        <v>12.65</v>
      </c>
      <c r="C103" s="661">
        <v>7571.87</v>
      </c>
      <c r="D103" s="664">
        <f t="shared" si="0"/>
        <v>-3.9447782910162288E-3</v>
      </c>
      <c r="E103" s="668">
        <f t="shared" si="1"/>
        <v>-1.2129668818851753E-3</v>
      </c>
      <c r="G103" s="121"/>
      <c r="H103" s="122"/>
    </row>
    <row r="104" spans="1:8" ht="15.75" outlineLevel="1" thickBot="1">
      <c r="A104" s="658">
        <v>44176</v>
      </c>
      <c r="B104" s="661">
        <v>12.75</v>
      </c>
      <c r="C104" s="661">
        <v>7562.46</v>
      </c>
      <c r="D104" s="664">
        <f t="shared" si="0"/>
        <v>7.8740564309058656E-3</v>
      </c>
      <c r="E104" s="668">
        <f t="shared" si="1"/>
        <v>-1.2435305973386745E-3</v>
      </c>
      <c r="G104" s="121" t="s">
        <v>607</v>
      </c>
      <c r="H104" s="122"/>
    </row>
    <row r="105" spans="1:8" outlineLevel="1">
      <c r="A105" s="658">
        <v>44179</v>
      </c>
      <c r="B105" s="661">
        <v>13.2</v>
      </c>
      <c r="C105" s="661">
        <v>7530.87</v>
      </c>
      <c r="D105" s="664">
        <f t="shared" si="0"/>
        <v>3.4685557987889894E-2</v>
      </c>
      <c r="E105" s="668">
        <f t="shared" si="1"/>
        <v>-4.1859611003487694E-3</v>
      </c>
      <c r="G105" s="127"/>
      <c r="H105" s="129" t="s">
        <v>608</v>
      </c>
    </row>
    <row r="106" spans="1:8" outlineLevel="1">
      <c r="A106" s="658">
        <v>44180</v>
      </c>
      <c r="B106" s="661">
        <v>12.692</v>
      </c>
      <c r="C106" s="661">
        <v>7628.28</v>
      </c>
      <c r="D106" s="664">
        <f t="shared" si="0"/>
        <v>-3.9244955871376004E-2</v>
      </c>
      <c r="E106" s="668">
        <f t="shared" si="1"/>
        <v>1.2851820947495691E-2</v>
      </c>
      <c r="G106" s="671" t="s">
        <v>609</v>
      </c>
      <c r="H106" s="122">
        <v>1</v>
      </c>
    </row>
    <row r="107" spans="1:8" outlineLevel="1">
      <c r="A107" s="658">
        <v>44181</v>
      </c>
      <c r="B107" s="661">
        <v>12.61</v>
      </c>
      <c r="C107" s="661">
        <v>7641.82</v>
      </c>
      <c r="D107" s="664">
        <f t="shared" si="0"/>
        <v>-6.4817237441209923E-3</v>
      </c>
      <c r="E107" s="668">
        <f t="shared" si="1"/>
        <v>1.7734007699429103E-3</v>
      </c>
      <c r="G107" s="671" t="s">
        <v>610</v>
      </c>
      <c r="H107" s="122">
        <v>564</v>
      </c>
    </row>
    <row r="108" spans="1:8" ht="15.75" outlineLevel="1" thickBot="1">
      <c r="A108" s="658">
        <v>44182</v>
      </c>
      <c r="B108" s="661">
        <v>13.19</v>
      </c>
      <c r="C108" s="661">
        <v>7686.18</v>
      </c>
      <c r="D108" s="664">
        <f t="shared" si="0"/>
        <v>4.4968816752395099E-2</v>
      </c>
      <c r="E108" s="668">
        <f t="shared" si="1"/>
        <v>5.7881163683108508E-3</v>
      </c>
      <c r="G108" s="671" t="s">
        <v>114</v>
      </c>
      <c r="H108" s="122">
        <v>565</v>
      </c>
    </row>
    <row r="109" spans="1:8" ht="15.75" outlineLevel="1" thickBot="1">
      <c r="A109" s="658">
        <v>44183</v>
      </c>
      <c r="B109" s="661">
        <v>13.04</v>
      </c>
      <c r="C109" s="661">
        <v>7659.75</v>
      </c>
      <c r="D109" s="664">
        <f t="shared" si="0"/>
        <v>-1.1437410230716358E-2</v>
      </c>
      <c r="E109" s="668">
        <f t="shared" si="1"/>
        <v>-3.4445649279930186E-3</v>
      </c>
      <c r="G109" s="128"/>
      <c r="H109" s="130"/>
    </row>
    <row r="110" spans="1:8" outlineLevel="1">
      <c r="A110" s="658">
        <v>44186</v>
      </c>
      <c r="B110" s="661">
        <v>13.488</v>
      </c>
      <c r="C110" s="661">
        <v>7630.07</v>
      </c>
      <c r="D110" s="664">
        <f t="shared" si="0"/>
        <v>3.3778844760992771E-2</v>
      </c>
      <c r="E110" s="668">
        <f t="shared" si="1"/>
        <v>-3.8823265779725307E-3</v>
      </c>
      <c r="G110" s="127"/>
      <c r="H110" s="129" t="s">
        <v>611</v>
      </c>
    </row>
    <row r="111" spans="1:8" outlineLevel="1">
      <c r="A111" s="658">
        <v>44187</v>
      </c>
      <c r="B111" s="661">
        <v>13.62</v>
      </c>
      <c r="C111" s="661">
        <v>7614.83</v>
      </c>
      <c r="D111" s="664">
        <f t="shared" si="0"/>
        <v>9.7388994618666062E-3</v>
      </c>
      <c r="E111" s="668">
        <f t="shared" si="1"/>
        <v>-1.9993578280917239E-3</v>
      </c>
      <c r="G111" s="671" t="s">
        <v>612</v>
      </c>
      <c r="H111" s="122">
        <v>-2.5651707725861217E-3</v>
      </c>
    </row>
    <row r="112" spans="1:8" ht="15.75" outlineLevel="1" thickBot="1">
      <c r="A112" s="658">
        <v>44188</v>
      </c>
      <c r="B112" s="661">
        <v>13.29</v>
      </c>
      <c r="C112" s="661">
        <v>7620.63</v>
      </c>
      <c r="D112" s="664">
        <f t="shared" si="0"/>
        <v>-2.4527427996212312E-2</v>
      </c>
      <c r="E112" s="668">
        <f t="shared" si="1"/>
        <v>7.6138170822410121E-4</v>
      </c>
      <c r="G112" s="672" t="s">
        <v>613</v>
      </c>
      <c r="H112" s="110">
        <v>1.2203921928947294</v>
      </c>
    </row>
    <row r="113" spans="1:5" outlineLevel="1">
      <c r="A113" s="658">
        <v>44189</v>
      </c>
      <c r="B113" s="661">
        <v>13.32</v>
      </c>
      <c r="C113" s="661">
        <v>7648.39</v>
      </c>
      <c r="D113" s="664">
        <f t="shared" si="0"/>
        <v>2.2547923870893044E-3</v>
      </c>
      <c r="E113" s="668">
        <f t="shared" si="1"/>
        <v>3.6361247264730242E-3</v>
      </c>
    </row>
    <row r="114" spans="1:5" outlineLevel="1">
      <c r="A114" s="658">
        <v>44193</v>
      </c>
      <c r="B114" s="661">
        <v>12.9</v>
      </c>
      <c r="C114" s="661">
        <v>7715.1</v>
      </c>
      <c r="D114" s="664">
        <f t="shared" si="0"/>
        <v>-3.203935374461666E-2</v>
      </c>
      <c r="E114" s="668">
        <f t="shared" si="1"/>
        <v>8.6842793211072116E-3</v>
      </c>
    </row>
    <row r="115" spans="1:5" outlineLevel="1">
      <c r="A115" s="658">
        <v>44194</v>
      </c>
      <c r="B115" s="661">
        <v>12.94</v>
      </c>
      <c r="C115" s="661">
        <v>7697.93</v>
      </c>
      <c r="D115" s="664">
        <f t="shared" si="0"/>
        <v>3.0959777051279922E-3</v>
      </c>
      <c r="E115" s="668">
        <f t="shared" si="1"/>
        <v>-2.2279859446900762E-3</v>
      </c>
    </row>
    <row r="116" spans="1:5" outlineLevel="1">
      <c r="A116" s="658">
        <v>44195</v>
      </c>
      <c r="B116" s="661">
        <v>13.2</v>
      </c>
      <c r="C116" s="661">
        <v>7709.1</v>
      </c>
      <c r="D116" s="664">
        <f t="shared" si="0"/>
        <v>1.9893540519570572E-2</v>
      </c>
      <c r="E116" s="668">
        <f t="shared" si="1"/>
        <v>1.449987694843626E-3</v>
      </c>
    </row>
    <row r="117" spans="1:5" outlineLevel="2">
      <c r="A117" s="658">
        <v>44196</v>
      </c>
      <c r="B117" s="661">
        <v>12.86</v>
      </c>
      <c r="C117" s="661">
        <v>7759.35</v>
      </c>
      <c r="D117" s="664">
        <f t="shared" si="0"/>
        <v>-2.609511078285184E-2</v>
      </c>
      <c r="E117" s="668">
        <f t="shared" si="1"/>
        <v>6.4971185561483787E-3</v>
      </c>
    </row>
    <row r="118" spans="1:5" outlineLevel="2">
      <c r="A118" s="658">
        <v>44200</v>
      </c>
      <c r="B118" s="661">
        <v>12.95</v>
      </c>
      <c r="C118" s="661">
        <v>7645.27</v>
      </c>
      <c r="D118" s="664">
        <f t="shared" si="0"/>
        <v>6.9740693360734029E-3</v>
      </c>
      <c r="E118" s="668">
        <f t="shared" si="1"/>
        <v>-1.481141184205015E-2</v>
      </c>
    </row>
    <row r="119" spans="1:5" outlineLevel="2">
      <c r="A119" s="658">
        <v>44201</v>
      </c>
      <c r="B119" s="661">
        <v>12.85</v>
      </c>
      <c r="C119" s="661">
        <v>7700.34</v>
      </c>
      <c r="D119" s="664">
        <f t="shared" si="0"/>
        <v>-7.7519768043179359E-3</v>
      </c>
      <c r="E119" s="668">
        <f t="shared" si="1"/>
        <v>7.1773277707806735E-3</v>
      </c>
    </row>
    <row r="120" spans="1:5" outlineLevel="2">
      <c r="A120" s="658">
        <v>44202</v>
      </c>
      <c r="B120" s="661">
        <v>12.85</v>
      </c>
      <c r="C120" s="661">
        <v>7744.43</v>
      </c>
      <c r="D120" s="664">
        <f t="shared" si="0"/>
        <v>0</v>
      </c>
      <c r="E120" s="668">
        <f t="shared" si="1"/>
        <v>5.7093915632677053E-3</v>
      </c>
    </row>
    <row r="121" spans="1:5" outlineLevel="2">
      <c r="A121" s="658">
        <v>44203</v>
      </c>
      <c r="B121" s="661">
        <v>13.75</v>
      </c>
      <c r="C121" s="661">
        <v>7861.1</v>
      </c>
      <c r="D121" s="664">
        <f t="shared" si="0"/>
        <v>6.7695012771351468E-2</v>
      </c>
      <c r="E121" s="668">
        <f t="shared" si="1"/>
        <v>1.4952670466345941E-2</v>
      </c>
    </row>
    <row r="122" spans="1:5" outlineLevel="2">
      <c r="A122" s="658">
        <v>44204</v>
      </c>
      <c r="B122" s="661">
        <v>13.815</v>
      </c>
      <c r="C122" s="661">
        <v>7905.28</v>
      </c>
      <c r="D122" s="664">
        <f t="shared" si="0"/>
        <v>4.7161342627995229E-3</v>
      </c>
      <c r="E122" s="668">
        <f t="shared" si="1"/>
        <v>5.6043448954339057E-3</v>
      </c>
    </row>
    <row r="123" spans="1:5" outlineLevel="2">
      <c r="A123" s="658">
        <v>44207</v>
      </c>
      <c r="B123" s="661">
        <v>14.01</v>
      </c>
      <c r="C123" s="661">
        <v>7853.45</v>
      </c>
      <c r="D123" s="664">
        <f t="shared" si="0"/>
        <v>1.4016401973535783E-2</v>
      </c>
      <c r="E123" s="668">
        <f t="shared" si="1"/>
        <v>-6.5779649614631256E-3</v>
      </c>
    </row>
    <row r="124" spans="1:5" outlineLevel="2">
      <c r="A124" s="658">
        <v>44208</v>
      </c>
      <c r="B124" s="661">
        <v>14.25</v>
      </c>
      <c r="C124" s="661">
        <v>7856.73</v>
      </c>
      <c r="D124" s="664">
        <f t="shared" si="0"/>
        <v>1.6985546365743807E-2</v>
      </c>
      <c r="E124" s="668">
        <f t="shared" si="1"/>
        <v>4.1756364951371438E-4</v>
      </c>
    </row>
    <row r="125" spans="1:5" outlineLevel="2">
      <c r="A125" s="658">
        <v>44209</v>
      </c>
      <c r="B125" s="661">
        <v>14.03</v>
      </c>
      <c r="C125" s="661">
        <v>7874.75</v>
      </c>
      <c r="D125" s="664">
        <f t="shared" si="0"/>
        <v>-1.5559012600290032E-2</v>
      </c>
      <c r="E125" s="668">
        <f t="shared" si="1"/>
        <v>2.290948833983353E-3</v>
      </c>
    </row>
    <row r="126" spans="1:5" outlineLevel="2">
      <c r="A126" s="658">
        <v>44210</v>
      </c>
      <c r="B126" s="661">
        <v>14.39</v>
      </c>
      <c r="C126" s="661">
        <v>7846.1</v>
      </c>
      <c r="D126" s="664">
        <f t="shared" si="0"/>
        <v>2.5335626784907028E-2</v>
      </c>
      <c r="E126" s="668">
        <f t="shared" si="1"/>
        <v>-3.6448451219472247E-3</v>
      </c>
    </row>
    <row r="127" spans="1:5" outlineLevel="2">
      <c r="A127" s="658">
        <v>44211</v>
      </c>
      <c r="B127" s="661">
        <v>14.85</v>
      </c>
      <c r="C127" s="661">
        <v>7789.79</v>
      </c>
      <c r="D127" s="664">
        <f t="shared" si="0"/>
        <v>3.1466344349432102E-2</v>
      </c>
      <c r="E127" s="668">
        <f t="shared" si="1"/>
        <v>-7.2026911727917937E-3</v>
      </c>
    </row>
    <row r="128" spans="1:5" outlineLevel="2">
      <c r="A128" s="658">
        <v>44215</v>
      </c>
      <c r="B128" s="661">
        <v>14.73</v>
      </c>
      <c r="C128" s="661">
        <v>7853.47</v>
      </c>
      <c r="D128" s="664">
        <f t="shared" si="0"/>
        <v>-8.1136347741696639E-3</v>
      </c>
      <c r="E128" s="668">
        <f t="shared" si="1"/>
        <v>8.1415704594709655E-3</v>
      </c>
    </row>
    <row r="129" spans="1:5" outlineLevel="2">
      <c r="A129" s="658">
        <v>44216</v>
      </c>
      <c r="B129" s="661">
        <v>14.88</v>
      </c>
      <c r="C129" s="661">
        <v>7962.92</v>
      </c>
      <c r="D129" s="664">
        <f t="shared" si="0"/>
        <v>1.0131798930406955E-2</v>
      </c>
      <c r="E129" s="668">
        <f t="shared" si="1"/>
        <v>1.3840294419174785E-2</v>
      </c>
    </row>
    <row r="130" spans="1:5" outlineLevel="2">
      <c r="A130" s="658">
        <v>44217</v>
      </c>
      <c r="B130" s="661">
        <v>16.5</v>
      </c>
      <c r="C130" s="661">
        <v>7966.11</v>
      </c>
      <c r="D130" s="664">
        <f t="shared" si="0"/>
        <v>0.10334235150158913</v>
      </c>
      <c r="E130" s="668">
        <f t="shared" si="1"/>
        <v>4.0052659109113568E-4</v>
      </c>
    </row>
    <row r="131" spans="1:5" outlineLevel="2">
      <c r="A131" s="658">
        <v>44218</v>
      </c>
      <c r="B131" s="661">
        <v>16.75</v>
      </c>
      <c r="C131" s="661">
        <v>7942.2</v>
      </c>
      <c r="D131" s="664">
        <f t="shared" si="0"/>
        <v>1.5037877364540502E-2</v>
      </c>
      <c r="E131" s="668">
        <f t="shared" si="1"/>
        <v>-3.0059783853897365E-3</v>
      </c>
    </row>
    <row r="132" spans="1:5" outlineLevel="2">
      <c r="A132" s="658">
        <v>44221</v>
      </c>
      <c r="B132" s="661">
        <v>15.22</v>
      </c>
      <c r="C132" s="661">
        <v>7970.92</v>
      </c>
      <c r="D132" s="664">
        <f t="shared" si="0"/>
        <v>-9.5787905837535645E-2</v>
      </c>
      <c r="E132" s="668">
        <f t="shared" si="1"/>
        <v>3.609604047893995E-3</v>
      </c>
    </row>
    <row r="133" spans="1:5" outlineLevel="2">
      <c r="A133" s="658">
        <v>44222</v>
      </c>
      <c r="B133" s="661">
        <v>14.47</v>
      </c>
      <c r="C133" s="661">
        <v>7959.1</v>
      </c>
      <c r="D133" s="664">
        <f t="shared" si="0"/>
        <v>-5.0532811790147278E-2</v>
      </c>
      <c r="E133" s="668">
        <f t="shared" si="1"/>
        <v>-1.4839908762443843E-3</v>
      </c>
    </row>
    <row r="134" spans="1:5" outlineLevel="2">
      <c r="A134" s="658">
        <v>44223</v>
      </c>
      <c r="B134" s="661">
        <v>12.77</v>
      </c>
      <c r="C134" s="661">
        <v>7754.74</v>
      </c>
      <c r="D134" s="664">
        <f t="shared" si="0"/>
        <v>-0.12497887059894462</v>
      </c>
      <c r="E134" s="668">
        <f t="shared" si="1"/>
        <v>-2.6011658827755788E-2</v>
      </c>
    </row>
    <row r="135" spans="1:5" outlineLevel="2">
      <c r="A135" s="658">
        <v>44224</v>
      </c>
      <c r="B135" s="661">
        <v>14</v>
      </c>
      <c r="C135" s="661">
        <v>7831.22</v>
      </c>
      <c r="D135" s="664">
        <f t="shared" si="0"/>
        <v>9.1958659570810675E-2</v>
      </c>
      <c r="E135" s="668">
        <f t="shared" si="1"/>
        <v>9.8140395393016815E-3</v>
      </c>
    </row>
    <row r="136" spans="1:5" outlineLevel="2">
      <c r="A136" s="658">
        <v>44225</v>
      </c>
      <c r="B136" s="661">
        <v>13.9</v>
      </c>
      <c r="C136" s="661">
        <v>7681.01</v>
      </c>
      <c r="D136" s="664">
        <f t="shared" si="0"/>
        <v>-7.168489478612516E-3</v>
      </c>
      <c r="E136" s="668">
        <f t="shared" si="1"/>
        <v>-1.9367259919327664E-2</v>
      </c>
    </row>
    <row r="137" spans="1:5" outlineLevel="2">
      <c r="A137" s="658">
        <v>44228</v>
      </c>
      <c r="B137" s="661">
        <v>14.12</v>
      </c>
      <c r="C137" s="661">
        <v>7804.31</v>
      </c>
      <c r="D137" s="664">
        <f t="shared" si="0"/>
        <v>1.5703391928449762E-2</v>
      </c>
      <c r="E137" s="668">
        <f t="shared" si="1"/>
        <v>1.5925096261269964E-2</v>
      </c>
    </row>
    <row r="138" spans="1:5" outlineLevel="2">
      <c r="A138" s="658">
        <v>44229</v>
      </c>
      <c r="B138" s="661">
        <v>14.4</v>
      </c>
      <c r="C138" s="661">
        <v>7912.87</v>
      </c>
      <c r="D138" s="664">
        <f t="shared" si="0"/>
        <v>1.9635974516858935E-2</v>
      </c>
      <c r="E138" s="668">
        <f t="shared" si="1"/>
        <v>1.3814402639627608E-2</v>
      </c>
    </row>
    <row r="139" spans="1:5" outlineLevel="2">
      <c r="A139" s="658">
        <v>44230</v>
      </c>
      <c r="B139" s="661">
        <v>14.4</v>
      </c>
      <c r="C139" s="661">
        <v>7920.85</v>
      </c>
      <c r="D139" s="664">
        <f t="shared" si="0"/>
        <v>0</v>
      </c>
      <c r="E139" s="668">
        <f t="shared" si="1"/>
        <v>1.0079754695232574E-3</v>
      </c>
    </row>
    <row r="140" spans="1:5" outlineLevel="2">
      <c r="A140" s="658">
        <v>44231</v>
      </c>
      <c r="B140" s="661">
        <v>13.85</v>
      </c>
      <c r="C140" s="661">
        <v>8007.62</v>
      </c>
      <c r="D140" s="664">
        <f t="shared" si="0"/>
        <v>-3.8942973948607518E-2</v>
      </c>
      <c r="E140" s="668">
        <f t="shared" si="1"/>
        <v>1.0895065039627552E-2</v>
      </c>
    </row>
    <row r="141" spans="1:5" outlineLevel="2">
      <c r="A141" s="658">
        <v>44232</v>
      </c>
      <c r="B141" s="661">
        <v>14.35</v>
      </c>
      <c r="C141" s="661">
        <v>8039.67</v>
      </c>
      <c r="D141" s="664">
        <f t="shared" si="0"/>
        <v>3.5464709572282677E-2</v>
      </c>
      <c r="E141" s="668">
        <f t="shared" si="1"/>
        <v>3.9944492328365536E-3</v>
      </c>
    </row>
    <row r="142" spans="1:5" outlineLevel="2">
      <c r="A142" s="658">
        <v>44235</v>
      </c>
      <c r="B142" s="661">
        <v>14.59</v>
      </c>
      <c r="C142" s="661">
        <v>8099.33</v>
      </c>
      <c r="D142" s="664">
        <f t="shared" si="0"/>
        <v>1.6586420329064114E-2</v>
      </c>
      <c r="E142" s="668">
        <f t="shared" si="1"/>
        <v>7.393304635453497E-3</v>
      </c>
    </row>
    <row r="143" spans="1:5" outlineLevel="2">
      <c r="A143" s="658">
        <v>44236</v>
      </c>
      <c r="B143" s="661">
        <v>14.3</v>
      </c>
      <c r="C143" s="661">
        <v>8091.7</v>
      </c>
      <c r="D143" s="664">
        <f t="shared" si="0"/>
        <v>-2.0076825268832671E-2</v>
      </c>
      <c r="E143" s="668">
        <f t="shared" si="1"/>
        <v>-9.4249724258573073E-4</v>
      </c>
    </row>
    <row r="144" spans="1:5" outlineLevel="2">
      <c r="A144" s="658">
        <v>44237</v>
      </c>
      <c r="B144" s="661">
        <v>14.3</v>
      </c>
      <c r="C144" s="661">
        <v>8089.11</v>
      </c>
      <c r="D144" s="664">
        <f t="shared" si="0"/>
        <v>0</v>
      </c>
      <c r="E144" s="668">
        <f t="shared" si="1"/>
        <v>-3.2013230760629936E-4</v>
      </c>
    </row>
    <row r="145" spans="1:5" outlineLevel="2">
      <c r="A145" s="658">
        <v>44238</v>
      </c>
      <c r="B145" s="661">
        <v>13.99</v>
      </c>
      <c r="C145" s="661">
        <v>8104.19</v>
      </c>
      <c r="D145" s="664">
        <f t="shared" si="0"/>
        <v>-2.1916748588471844E-2</v>
      </c>
      <c r="E145" s="668">
        <f t="shared" si="1"/>
        <v>1.8624992261312135E-3</v>
      </c>
    </row>
    <row r="146" spans="1:5" outlineLevel="2">
      <c r="A146" s="658">
        <v>44239</v>
      </c>
      <c r="B146" s="661">
        <v>13.87</v>
      </c>
      <c r="C146" s="661">
        <v>8142.79</v>
      </c>
      <c r="D146" s="664">
        <f t="shared" si="0"/>
        <v>-8.6145543506496603E-3</v>
      </c>
      <c r="E146" s="668">
        <f t="shared" si="1"/>
        <v>4.7516612474181995E-3</v>
      </c>
    </row>
    <row r="147" spans="1:5" outlineLevel="2">
      <c r="A147" s="658">
        <v>44243</v>
      </c>
      <c r="B147" s="661">
        <v>13.88</v>
      </c>
      <c r="C147" s="661">
        <v>8139.16</v>
      </c>
      <c r="D147" s="664">
        <f t="shared" si="0"/>
        <v>7.2072075191838844E-4</v>
      </c>
      <c r="E147" s="668">
        <f t="shared" si="1"/>
        <v>-4.458925448294316E-4</v>
      </c>
    </row>
    <row r="148" spans="1:5" outlineLevel="2">
      <c r="A148" s="658">
        <v>44244</v>
      </c>
      <c r="B148" s="661">
        <v>13.9</v>
      </c>
      <c r="C148" s="661">
        <v>8137.88</v>
      </c>
      <c r="D148" s="664">
        <f t="shared" si="0"/>
        <v>1.4398850579875444E-3</v>
      </c>
      <c r="E148" s="668">
        <f t="shared" si="1"/>
        <v>-1.5727675334558253E-4</v>
      </c>
    </row>
    <row r="149" spans="1:5" outlineLevel="2">
      <c r="A149" s="658">
        <v>44245</v>
      </c>
      <c r="B149" s="661">
        <v>14</v>
      </c>
      <c r="C149" s="661">
        <v>8102.24</v>
      </c>
      <c r="D149" s="664">
        <f t="shared" si="0"/>
        <v>7.168489478612497E-3</v>
      </c>
      <c r="E149" s="668">
        <f t="shared" si="1"/>
        <v>-4.3891371757870381E-3</v>
      </c>
    </row>
    <row r="150" spans="1:5" outlineLevel="2">
      <c r="A150" s="658">
        <v>44246</v>
      </c>
      <c r="B150" s="661">
        <v>13.9</v>
      </c>
      <c r="C150" s="661">
        <v>8087.68</v>
      </c>
      <c r="D150" s="664">
        <f t="shared" si="0"/>
        <v>-7.168489478612516E-3</v>
      </c>
      <c r="E150" s="668">
        <f t="shared" si="1"/>
        <v>-1.7986505091200779E-3</v>
      </c>
    </row>
    <row r="151" spans="1:5" outlineLevel="2">
      <c r="A151" s="658">
        <v>44249</v>
      </c>
      <c r="B151" s="661">
        <v>13.64</v>
      </c>
      <c r="C151" s="661">
        <v>8025.81</v>
      </c>
      <c r="D151" s="664">
        <f t="shared" si="0"/>
        <v>-1.888218772132998E-2</v>
      </c>
      <c r="E151" s="668">
        <f t="shared" si="1"/>
        <v>-7.6793176461572845E-3</v>
      </c>
    </row>
    <row r="152" spans="1:5" outlineLevel="2">
      <c r="A152" s="658">
        <v>44250</v>
      </c>
      <c r="B152" s="661">
        <v>13.63</v>
      </c>
      <c r="C152" s="661">
        <v>8036.06</v>
      </c>
      <c r="D152" s="664">
        <f t="shared" si="0"/>
        <v>-7.3340670687479419E-4</v>
      </c>
      <c r="E152" s="668">
        <f t="shared" si="1"/>
        <v>1.2763148240422803E-3</v>
      </c>
    </row>
    <row r="153" spans="1:5" outlineLevel="2">
      <c r="A153" s="658">
        <v>44251</v>
      </c>
      <c r="B153" s="661">
        <v>13.26</v>
      </c>
      <c r="C153" s="661">
        <v>8127.38</v>
      </c>
      <c r="D153" s="664">
        <f t="shared" si="0"/>
        <v>-2.7521260950724834E-2</v>
      </c>
      <c r="E153" s="668">
        <f t="shared" si="1"/>
        <v>1.1299695073126599E-2</v>
      </c>
    </row>
    <row r="154" spans="1:5" outlineLevel="2">
      <c r="A154" s="658">
        <v>44252</v>
      </c>
      <c r="B154" s="661">
        <v>12.84</v>
      </c>
      <c r="C154" s="661">
        <v>7929.56</v>
      </c>
      <c r="D154" s="664">
        <f t="shared" si="0"/>
        <v>-3.2186686495901333E-2</v>
      </c>
      <c r="E154" s="668">
        <f t="shared" si="1"/>
        <v>-2.4641059789864937E-2</v>
      </c>
    </row>
    <row r="155" spans="1:5" outlineLevel="2">
      <c r="A155" s="658">
        <v>44253</v>
      </c>
      <c r="B155" s="661">
        <v>12.95</v>
      </c>
      <c r="C155" s="661">
        <v>7892.81</v>
      </c>
      <c r="D155" s="664">
        <f t="shared" si="0"/>
        <v>8.5304898837315589E-3</v>
      </c>
      <c r="E155" s="668">
        <f t="shared" si="1"/>
        <v>-4.6453301352383201E-3</v>
      </c>
    </row>
    <row r="156" spans="1:5" outlineLevel="2">
      <c r="A156" s="658">
        <v>44256</v>
      </c>
      <c r="B156" s="661">
        <v>12.89</v>
      </c>
      <c r="C156" s="661">
        <v>8080.78</v>
      </c>
      <c r="D156" s="664">
        <f t="shared" si="0"/>
        <v>-4.643971194450593E-3</v>
      </c>
      <c r="E156" s="668">
        <f t="shared" si="1"/>
        <v>2.3536184053266938E-2</v>
      </c>
    </row>
    <row r="157" spans="1:5" outlineLevel="2">
      <c r="A157" s="658">
        <v>44257</v>
      </c>
      <c r="B157" s="661">
        <v>12.7</v>
      </c>
      <c r="C157" s="661">
        <v>8015.54</v>
      </c>
      <c r="D157" s="664">
        <f t="shared" si="0"/>
        <v>-1.4849823486550508E-2</v>
      </c>
      <c r="E157" s="668">
        <f t="shared" si="1"/>
        <v>-8.1062450609267148E-3</v>
      </c>
    </row>
    <row r="158" spans="1:5" outlineLevel="2">
      <c r="A158" s="658">
        <v>44258</v>
      </c>
      <c r="B158" s="661">
        <v>11.38</v>
      </c>
      <c r="C158" s="661">
        <v>7911.21</v>
      </c>
      <c r="D158" s="664">
        <f t="shared" si="0"/>
        <v>-0.10974456476636058</v>
      </c>
      <c r="E158" s="668">
        <f t="shared" si="1"/>
        <v>-1.3101416462786475E-2</v>
      </c>
    </row>
    <row r="159" spans="1:5" outlineLevel="2">
      <c r="A159" s="658">
        <v>44259</v>
      </c>
      <c r="B159" s="661">
        <v>11.3</v>
      </c>
      <c r="C159" s="661">
        <v>7806.45</v>
      </c>
      <c r="D159" s="664">
        <f t="shared" si="0"/>
        <v>-7.0547029798900384E-3</v>
      </c>
      <c r="E159" s="668">
        <f t="shared" si="1"/>
        <v>-1.3330425943637857E-2</v>
      </c>
    </row>
    <row r="160" spans="1:5" outlineLevel="2">
      <c r="A160" s="658">
        <v>44260</v>
      </c>
      <c r="B160" s="661">
        <v>11.52</v>
      </c>
      <c r="C160" s="661">
        <v>7958.98</v>
      </c>
      <c r="D160" s="664">
        <f t="shared" si="0"/>
        <v>1.9281929549450284E-2</v>
      </c>
      <c r="E160" s="668">
        <f t="shared" si="1"/>
        <v>1.9350535882104156E-2</v>
      </c>
    </row>
    <row r="161" spans="1:5" outlineLevel="2">
      <c r="A161" s="658">
        <v>44263</v>
      </c>
      <c r="B161" s="661">
        <v>10.98</v>
      </c>
      <c r="C161" s="661">
        <v>7916.41</v>
      </c>
      <c r="D161" s="664">
        <f t="shared" ref="D161:D224" si="2">LN(B161/B160)</f>
        <v>-4.8009219186360488E-2</v>
      </c>
      <c r="E161" s="668">
        <f t="shared" ref="E161:E224" si="3">LN(C161/C160)</f>
        <v>-5.363030707717379E-3</v>
      </c>
    </row>
    <row r="162" spans="1:5" outlineLevel="2">
      <c r="A162" s="658">
        <v>44264</v>
      </c>
      <c r="B162" s="661">
        <v>11.88</v>
      </c>
      <c r="C162" s="661">
        <v>8029.2</v>
      </c>
      <c r="D162" s="664">
        <f t="shared" si="2"/>
        <v>7.8780877853114384E-2</v>
      </c>
      <c r="E162" s="668">
        <f t="shared" si="3"/>
        <v>1.4147076360299162E-2</v>
      </c>
    </row>
    <row r="163" spans="1:5" outlineLevel="2">
      <c r="A163" s="658">
        <v>44265</v>
      </c>
      <c r="B163" s="661">
        <v>12</v>
      </c>
      <c r="C163" s="661">
        <v>8078.05</v>
      </c>
      <c r="D163" s="664">
        <f t="shared" si="2"/>
        <v>1.0050335853501286E-2</v>
      </c>
      <c r="E163" s="668">
        <f t="shared" si="3"/>
        <v>6.06561017833444E-3</v>
      </c>
    </row>
    <row r="164" spans="1:5" outlineLevel="2">
      <c r="A164" s="658">
        <v>44266</v>
      </c>
      <c r="B164" s="661">
        <v>14.65</v>
      </c>
      <c r="C164" s="661">
        <v>8162.58</v>
      </c>
      <c r="D164" s="664">
        <f t="shared" si="2"/>
        <v>0.19953368567507609</v>
      </c>
      <c r="E164" s="668">
        <f t="shared" si="3"/>
        <v>1.0409788700387964E-2</v>
      </c>
    </row>
    <row r="165" spans="1:5" outlineLevel="2">
      <c r="A165" s="658">
        <v>44267</v>
      </c>
      <c r="B165" s="661">
        <v>13.95</v>
      </c>
      <c r="C165" s="661">
        <v>8172.9</v>
      </c>
      <c r="D165" s="664">
        <f t="shared" si="2"/>
        <v>-4.8960827195701724E-2</v>
      </c>
      <c r="E165" s="668">
        <f t="shared" si="3"/>
        <v>1.2635075765080198E-3</v>
      </c>
    </row>
    <row r="166" spans="1:5" outlineLevel="2">
      <c r="A166" s="658">
        <v>44270</v>
      </c>
      <c r="B166" s="661">
        <v>13.73</v>
      </c>
      <c r="C166" s="661">
        <v>8226.32</v>
      </c>
      <c r="D166" s="664">
        <f t="shared" si="2"/>
        <v>-1.5896288487494858E-2</v>
      </c>
      <c r="E166" s="668">
        <f t="shared" si="3"/>
        <v>6.5149670472068686E-3</v>
      </c>
    </row>
    <row r="167" spans="1:5" outlineLevel="2">
      <c r="A167" s="658">
        <v>44271</v>
      </c>
      <c r="B167" s="661">
        <v>12.85</v>
      </c>
      <c r="C167" s="661">
        <v>8213.6299999999992</v>
      </c>
      <c r="D167" s="664">
        <f t="shared" si="2"/>
        <v>-6.6239408438650976E-2</v>
      </c>
      <c r="E167" s="668">
        <f t="shared" si="3"/>
        <v>-1.5438006223086153E-3</v>
      </c>
    </row>
    <row r="168" spans="1:5" outlineLevel="2">
      <c r="A168" s="658">
        <v>44272</v>
      </c>
      <c r="B168" s="661">
        <v>12.85</v>
      </c>
      <c r="C168" s="661">
        <v>8237.35</v>
      </c>
      <c r="D168" s="664">
        <f t="shared" si="2"/>
        <v>0</v>
      </c>
      <c r="E168" s="668">
        <f t="shared" si="3"/>
        <v>2.8837207798749487E-3</v>
      </c>
    </row>
    <row r="169" spans="1:5" outlineLevel="2">
      <c r="A169" s="658">
        <v>44273</v>
      </c>
      <c r="B169" s="661">
        <v>12.95</v>
      </c>
      <c r="C169" s="661">
        <v>8116.17</v>
      </c>
      <c r="D169" s="664">
        <f t="shared" si="2"/>
        <v>7.7519768043179237E-3</v>
      </c>
      <c r="E169" s="668">
        <f t="shared" si="3"/>
        <v>-1.4820322231484898E-2</v>
      </c>
    </row>
    <row r="170" spans="1:5" outlineLevel="2">
      <c r="A170" s="658">
        <v>44274</v>
      </c>
      <c r="B170" s="661">
        <v>12.99</v>
      </c>
      <c r="C170" s="661">
        <v>8112.13</v>
      </c>
      <c r="D170" s="664">
        <f t="shared" si="2"/>
        <v>3.0840425369615407E-3</v>
      </c>
      <c r="E170" s="668">
        <f t="shared" si="3"/>
        <v>-4.9789566170944802E-4</v>
      </c>
    </row>
    <row r="171" spans="1:5" outlineLevel="2">
      <c r="A171" s="658">
        <v>44277</v>
      </c>
      <c r="B171" s="661">
        <v>13.5</v>
      </c>
      <c r="C171" s="661">
        <v>8169.14</v>
      </c>
      <c r="D171" s="664">
        <f t="shared" si="2"/>
        <v>3.8509854761875593E-2</v>
      </c>
      <c r="E171" s="668">
        <f t="shared" si="3"/>
        <v>7.0031678120179635E-3</v>
      </c>
    </row>
    <row r="172" spans="1:5" outlineLevel="2">
      <c r="A172" s="658">
        <v>44278</v>
      </c>
      <c r="B172" s="661">
        <v>12.45</v>
      </c>
      <c r="C172" s="661">
        <v>8106.83</v>
      </c>
      <c r="D172" s="664">
        <f t="shared" si="2"/>
        <v>-8.0969062533667202E-2</v>
      </c>
      <c r="E172" s="668">
        <f t="shared" si="3"/>
        <v>-7.6567239202582254E-3</v>
      </c>
    </row>
    <row r="173" spans="1:5" outlineLevel="2">
      <c r="A173" s="658">
        <v>44279</v>
      </c>
      <c r="B173" s="661">
        <v>11.58</v>
      </c>
      <c r="C173" s="661">
        <v>8063</v>
      </c>
      <c r="D173" s="664">
        <f t="shared" si="2"/>
        <v>-7.2441150765867365E-2</v>
      </c>
      <c r="E173" s="668">
        <f t="shared" si="3"/>
        <v>-5.4212205503186266E-3</v>
      </c>
    </row>
    <row r="174" spans="1:5" outlineLevel="2">
      <c r="A174" s="658">
        <v>44280</v>
      </c>
      <c r="B174" s="661">
        <v>12.05</v>
      </c>
      <c r="C174" s="661">
        <v>8105.51</v>
      </c>
      <c r="D174" s="664">
        <f t="shared" si="2"/>
        <v>3.9785187791814815E-2</v>
      </c>
      <c r="E174" s="668">
        <f t="shared" si="3"/>
        <v>5.2583816260280058E-3</v>
      </c>
    </row>
    <row r="175" spans="1:5" outlineLevel="2">
      <c r="A175" s="658">
        <v>44281</v>
      </c>
      <c r="B175" s="661">
        <v>11.67</v>
      </c>
      <c r="C175" s="661">
        <v>8240.3799999999992</v>
      </c>
      <c r="D175" s="664">
        <f t="shared" si="2"/>
        <v>-3.2043213638199501E-2</v>
      </c>
      <c r="E175" s="668">
        <f t="shared" si="3"/>
        <v>1.6502382033988343E-2</v>
      </c>
    </row>
    <row r="176" spans="1:5" outlineLevel="2">
      <c r="A176" s="658">
        <v>44284</v>
      </c>
      <c r="B176" s="661">
        <v>11.64</v>
      </c>
      <c r="C176" s="661">
        <v>8233.25</v>
      </c>
      <c r="D176" s="664">
        <f t="shared" si="2"/>
        <v>-2.5740039951727659E-3</v>
      </c>
      <c r="E176" s="668">
        <f t="shared" si="3"/>
        <v>-8.6562590579168457E-4</v>
      </c>
    </row>
    <row r="177" spans="1:5" outlineLevel="2">
      <c r="A177" s="658">
        <v>44285</v>
      </c>
      <c r="B177" s="661">
        <v>11.35</v>
      </c>
      <c r="C177" s="661">
        <v>8208.1</v>
      </c>
      <c r="D177" s="664">
        <f t="shared" si="2"/>
        <v>-2.5229698375880221E-2</v>
      </c>
      <c r="E177" s="668">
        <f t="shared" si="3"/>
        <v>-3.0593618670434427E-3</v>
      </c>
    </row>
    <row r="178" spans="1:5" outlineLevel="2">
      <c r="A178" s="658">
        <v>44286</v>
      </c>
      <c r="B178" s="661">
        <v>11.7</v>
      </c>
      <c r="C178" s="661">
        <v>8238.48</v>
      </c>
      <c r="D178" s="664">
        <f t="shared" si="2"/>
        <v>3.0371097876298769E-2</v>
      </c>
      <c r="E178" s="668">
        <f t="shared" si="3"/>
        <v>3.6943892959477465E-3</v>
      </c>
    </row>
    <row r="179" spans="1:5" outlineLevel="2">
      <c r="A179" s="658">
        <v>44287</v>
      </c>
      <c r="B179" s="661">
        <v>11.95</v>
      </c>
      <c r="C179" s="661">
        <v>8335.91</v>
      </c>
      <c r="D179" s="664">
        <f t="shared" si="2"/>
        <v>2.1142436573809164E-2</v>
      </c>
      <c r="E179" s="668">
        <f t="shared" si="3"/>
        <v>1.17568275216084E-2</v>
      </c>
    </row>
    <row r="180" spans="1:5" outlineLevel="2">
      <c r="A180" s="658">
        <v>44291</v>
      </c>
      <c r="B180" s="661">
        <v>12.17</v>
      </c>
      <c r="C180" s="661">
        <v>8457.4</v>
      </c>
      <c r="D180" s="664">
        <f t="shared" si="2"/>
        <v>1.8242628621916199E-2</v>
      </c>
      <c r="E180" s="668">
        <f t="shared" si="3"/>
        <v>1.4469109370194726E-2</v>
      </c>
    </row>
    <row r="181" spans="1:5" outlineLevel="2">
      <c r="A181" s="658">
        <v>44292</v>
      </c>
      <c r="B181" s="661">
        <v>12.7</v>
      </c>
      <c r="C181" s="661">
        <v>8449.5400000000009</v>
      </c>
      <c r="D181" s="664">
        <f t="shared" si="2"/>
        <v>4.2628086465109669E-2</v>
      </c>
      <c r="E181" s="668">
        <f t="shared" si="3"/>
        <v>-9.2979576035162159E-4</v>
      </c>
    </row>
    <row r="182" spans="1:5" outlineLevel="2">
      <c r="A182" s="658">
        <v>44293</v>
      </c>
      <c r="B182" s="661">
        <v>13.13</v>
      </c>
      <c r="C182" s="661">
        <v>8462.17</v>
      </c>
      <c r="D182" s="664">
        <f t="shared" si="2"/>
        <v>3.3297694850159341E-2</v>
      </c>
      <c r="E182" s="668">
        <f t="shared" si="3"/>
        <v>1.4936398918956085E-3</v>
      </c>
    </row>
    <row r="183" spans="1:5" outlineLevel="2">
      <c r="A183" s="658">
        <v>44294</v>
      </c>
      <c r="B183" s="661">
        <v>14.1</v>
      </c>
      <c r="C183" s="661">
        <v>8499.85</v>
      </c>
      <c r="D183" s="664">
        <f t="shared" si="2"/>
        <v>7.1275109069417641E-2</v>
      </c>
      <c r="E183" s="668">
        <f t="shared" si="3"/>
        <v>4.4428743723749697E-3</v>
      </c>
    </row>
    <row r="184" spans="1:5" outlineLevel="2">
      <c r="A184" s="658">
        <v>44295</v>
      </c>
      <c r="B184" s="661">
        <v>13.75</v>
      </c>
      <c r="C184" s="661">
        <v>8565.57</v>
      </c>
      <c r="D184" s="664">
        <f t="shared" si="2"/>
        <v>-2.5135973271542274E-2</v>
      </c>
      <c r="E184" s="668">
        <f t="shared" si="3"/>
        <v>7.7021631924342315E-3</v>
      </c>
    </row>
    <row r="185" spans="1:5" outlineLevel="2">
      <c r="A185" s="658">
        <v>44298</v>
      </c>
      <c r="B185" s="661">
        <v>13.95</v>
      </c>
      <c r="C185" s="661">
        <v>8564.0300000000007</v>
      </c>
      <c r="D185" s="664">
        <f t="shared" si="2"/>
        <v>1.4440684154794209E-2</v>
      </c>
      <c r="E185" s="668">
        <f t="shared" si="3"/>
        <v>-1.7980571690504087E-4</v>
      </c>
    </row>
    <row r="186" spans="1:5" outlineLevel="2">
      <c r="A186" s="658">
        <v>44299</v>
      </c>
      <c r="B186" s="661">
        <v>15.33</v>
      </c>
      <c r="C186" s="661">
        <v>8592.25</v>
      </c>
      <c r="D186" s="664">
        <f t="shared" si="2"/>
        <v>9.4332184616348083E-2</v>
      </c>
      <c r="E186" s="668">
        <f t="shared" si="3"/>
        <v>3.2897604202033418E-3</v>
      </c>
    </row>
    <row r="187" spans="1:5" outlineLevel="2">
      <c r="A187" s="658">
        <v>44300</v>
      </c>
      <c r="B187" s="661">
        <v>14.4</v>
      </c>
      <c r="C187" s="661">
        <v>8558.16</v>
      </c>
      <c r="D187" s="664">
        <f t="shared" si="2"/>
        <v>-6.2583486301767757E-2</v>
      </c>
      <c r="E187" s="668">
        <f t="shared" si="3"/>
        <v>-3.9754204006114567E-3</v>
      </c>
    </row>
    <row r="188" spans="1:5" outlineLevel="2">
      <c r="A188" s="658">
        <v>44301</v>
      </c>
      <c r="B188" s="661">
        <v>13.51</v>
      </c>
      <c r="C188" s="661">
        <v>8653.2900000000009</v>
      </c>
      <c r="D188" s="664">
        <f t="shared" si="2"/>
        <v>-6.3798054609847443E-2</v>
      </c>
      <c r="E188" s="668">
        <f t="shared" si="3"/>
        <v>1.1054381674223641E-2</v>
      </c>
    </row>
    <row r="189" spans="1:5" outlineLevel="2">
      <c r="A189" s="658">
        <v>44302</v>
      </c>
      <c r="B189" s="661">
        <v>12.52</v>
      </c>
      <c r="C189" s="661">
        <v>8684.51</v>
      </c>
      <c r="D189" s="664">
        <f t="shared" si="2"/>
        <v>-7.6102786300155031E-2</v>
      </c>
      <c r="E189" s="668">
        <f t="shared" si="3"/>
        <v>3.6013835369555348E-3</v>
      </c>
    </row>
    <row r="190" spans="1:5" outlineLevel="2">
      <c r="A190" s="658">
        <v>44305</v>
      </c>
      <c r="B190" s="661">
        <v>13.16</v>
      </c>
      <c r="C190" s="661">
        <v>8638.42</v>
      </c>
      <c r="D190" s="664">
        <f t="shared" si="2"/>
        <v>4.9854560225218676E-2</v>
      </c>
      <c r="E190" s="668">
        <f t="shared" si="3"/>
        <v>-5.3212832652673354E-3</v>
      </c>
    </row>
    <row r="191" spans="1:5" outlineLevel="2">
      <c r="A191" s="658">
        <v>44306</v>
      </c>
      <c r="B191" s="661">
        <v>12.72</v>
      </c>
      <c r="C191" s="661">
        <v>8579.9500000000007</v>
      </c>
      <c r="D191" s="664">
        <f t="shared" si="2"/>
        <v>-3.4006367985194977E-2</v>
      </c>
      <c r="E191" s="668">
        <f t="shared" si="3"/>
        <v>-6.7916097457054007E-3</v>
      </c>
    </row>
    <row r="192" spans="1:5" outlineLevel="2">
      <c r="A192" s="658">
        <v>44307</v>
      </c>
      <c r="B192" s="661">
        <v>12.72</v>
      </c>
      <c r="C192" s="661">
        <v>8659.7999999999993</v>
      </c>
      <c r="D192" s="664">
        <f t="shared" si="2"/>
        <v>0</v>
      </c>
      <c r="E192" s="668">
        <f t="shared" si="3"/>
        <v>9.2635416423720064E-3</v>
      </c>
    </row>
    <row r="193" spans="1:5" outlineLevel="2">
      <c r="A193" s="658">
        <v>44308</v>
      </c>
      <c r="B193" s="661">
        <v>12.7</v>
      </c>
      <c r="C193" s="661">
        <v>8580.73</v>
      </c>
      <c r="D193" s="664">
        <f t="shared" si="2"/>
        <v>-1.573564447430552E-3</v>
      </c>
      <c r="E193" s="668">
        <f t="shared" si="3"/>
        <v>-9.1726361537158747E-3</v>
      </c>
    </row>
    <row r="194" spans="1:5" outlineLevel="2">
      <c r="A194" s="658">
        <v>44309</v>
      </c>
      <c r="B194" s="661">
        <v>13.06</v>
      </c>
      <c r="C194" s="661">
        <v>8674.7999999999993</v>
      </c>
      <c r="D194" s="664">
        <f t="shared" si="2"/>
        <v>2.7952130383739494E-2</v>
      </c>
      <c r="E194" s="668">
        <f t="shared" si="3"/>
        <v>1.0903279346394857E-2</v>
      </c>
    </row>
    <row r="195" spans="1:5" outlineLevel="2">
      <c r="A195" s="658">
        <v>44312</v>
      </c>
      <c r="B195" s="661">
        <v>13.63</v>
      </c>
      <c r="C195" s="661">
        <v>8690.26</v>
      </c>
      <c r="D195" s="664">
        <f t="shared" si="2"/>
        <v>4.2719121860156188E-2</v>
      </c>
      <c r="E195" s="668">
        <f t="shared" si="3"/>
        <v>1.780587465249296E-3</v>
      </c>
    </row>
    <row r="196" spans="1:5" outlineLevel="2">
      <c r="A196" s="658">
        <v>44313</v>
      </c>
      <c r="B196" s="661">
        <v>13.71</v>
      </c>
      <c r="C196" s="661">
        <v>8688.4500000000007</v>
      </c>
      <c r="D196" s="664">
        <f t="shared" si="2"/>
        <v>5.8522478657818911E-3</v>
      </c>
      <c r="E196" s="668">
        <f t="shared" si="3"/>
        <v>-2.0830084701848917E-4</v>
      </c>
    </row>
    <row r="197" spans="1:5" outlineLevel="2">
      <c r="A197" s="658">
        <v>44314</v>
      </c>
      <c r="B197" s="661">
        <v>13.37</v>
      </c>
      <c r="C197" s="661">
        <v>8681.17</v>
      </c>
      <c r="D197" s="664">
        <f t="shared" si="2"/>
        <v>-2.511210246037136E-2</v>
      </c>
      <c r="E197" s="668">
        <f t="shared" si="3"/>
        <v>-8.3824521506832843E-4</v>
      </c>
    </row>
    <row r="198" spans="1:5" outlineLevel="2">
      <c r="A198" s="658">
        <v>44315</v>
      </c>
      <c r="B198" s="661">
        <v>12.99</v>
      </c>
      <c r="C198" s="661">
        <v>8740.35</v>
      </c>
      <c r="D198" s="664">
        <f t="shared" si="2"/>
        <v>-2.8833560431343538E-2</v>
      </c>
      <c r="E198" s="668">
        <f t="shared" si="3"/>
        <v>6.793922416947153E-3</v>
      </c>
    </row>
    <row r="199" spans="1:5" outlineLevel="2">
      <c r="A199" s="658">
        <v>44316</v>
      </c>
      <c r="B199" s="661">
        <v>13.31</v>
      </c>
      <c r="C199" s="661">
        <v>8678.16</v>
      </c>
      <c r="D199" s="664">
        <f t="shared" si="2"/>
        <v>2.4335801724512118E-2</v>
      </c>
      <c r="E199" s="668">
        <f t="shared" si="3"/>
        <v>-7.1407099980537415E-3</v>
      </c>
    </row>
    <row r="200" spans="1:5" outlineLevel="2">
      <c r="A200" s="658">
        <v>44319</v>
      </c>
      <c r="B200" s="661">
        <v>13.01</v>
      </c>
      <c r="C200" s="661">
        <v>8702.0300000000007</v>
      </c>
      <c r="D200" s="664">
        <f t="shared" si="2"/>
        <v>-2.2797339882606467E-2</v>
      </c>
      <c r="E200" s="668">
        <f t="shared" si="3"/>
        <v>2.7468071417125779E-3</v>
      </c>
    </row>
    <row r="201" spans="1:5" outlineLevel="2">
      <c r="A201" s="658">
        <v>44320</v>
      </c>
      <c r="B201" s="661">
        <v>13</v>
      </c>
      <c r="C201" s="661">
        <v>8643.91</v>
      </c>
      <c r="D201" s="664">
        <f t="shared" si="2"/>
        <v>-7.6893506287716788E-4</v>
      </c>
      <c r="E201" s="668">
        <f t="shared" si="3"/>
        <v>-6.7013050318146085E-3</v>
      </c>
    </row>
    <row r="202" spans="1:5" outlineLevel="2">
      <c r="A202" s="658">
        <v>44321</v>
      </c>
      <c r="B202" s="661">
        <v>12.42</v>
      </c>
      <c r="C202" s="661">
        <v>8650.0400000000009</v>
      </c>
      <c r="D202" s="664">
        <f t="shared" si="2"/>
        <v>-4.5641280956204025E-2</v>
      </c>
      <c r="E202" s="668">
        <f t="shared" si="3"/>
        <v>7.0891846648437435E-4</v>
      </c>
    </row>
    <row r="203" spans="1:5" outlineLevel="2">
      <c r="A203" s="658">
        <v>44322</v>
      </c>
      <c r="B203" s="661">
        <v>11.84</v>
      </c>
      <c r="C203" s="661">
        <v>8722.0400000000009</v>
      </c>
      <c r="D203" s="664">
        <f t="shared" si="2"/>
        <v>-4.7824447049473071E-2</v>
      </c>
      <c r="E203" s="668">
        <f t="shared" si="3"/>
        <v>8.2892103036104944E-3</v>
      </c>
    </row>
    <row r="204" spans="1:5" outlineLevel="2">
      <c r="A204" s="658">
        <v>44323</v>
      </c>
      <c r="B204" s="661">
        <v>11.67</v>
      </c>
      <c r="C204" s="661">
        <v>8787.82</v>
      </c>
      <c r="D204" s="664">
        <f t="shared" si="2"/>
        <v>-1.4462183157395014E-2</v>
      </c>
      <c r="E204" s="668">
        <f t="shared" si="3"/>
        <v>7.5135163223280042E-3</v>
      </c>
    </row>
    <row r="205" spans="1:5" outlineLevel="2">
      <c r="A205" s="658">
        <v>44326</v>
      </c>
      <c r="B205" s="661">
        <v>11.71</v>
      </c>
      <c r="C205" s="661">
        <v>8696.2900000000009</v>
      </c>
      <c r="D205" s="664">
        <f t="shared" si="2"/>
        <v>3.4217313111615387E-3</v>
      </c>
      <c r="E205" s="668">
        <f t="shared" si="3"/>
        <v>-1.047017390758378E-2</v>
      </c>
    </row>
    <row r="206" spans="1:5" outlineLevel="2">
      <c r="A206" s="658">
        <v>44327</v>
      </c>
      <c r="B206" s="661">
        <v>12.42</v>
      </c>
      <c r="C206" s="661">
        <v>8620.98</v>
      </c>
      <c r="D206" s="664">
        <f t="shared" si="2"/>
        <v>5.8864898895706758E-2</v>
      </c>
      <c r="E206" s="668">
        <f t="shared" si="3"/>
        <v>-8.6977306202934788E-3</v>
      </c>
    </row>
    <row r="207" spans="1:5" outlineLevel="2">
      <c r="A207" s="658">
        <v>44328</v>
      </c>
      <c r="B207" s="661">
        <v>11.5</v>
      </c>
      <c r="C207" s="661">
        <v>8437.24</v>
      </c>
      <c r="D207" s="664">
        <f t="shared" si="2"/>
        <v>-7.6961041136128325E-2</v>
      </c>
      <c r="E207" s="668">
        <f t="shared" si="3"/>
        <v>-2.1543526399566654E-2</v>
      </c>
    </row>
    <row r="208" spans="1:5" outlineLevel="2">
      <c r="A208" s="658">
        <v>44329</v>
      </c>
      <c r="B208" s="661">
        <v>11.06</v>
      </c>
      <c r="C208" s="661">
        <v>8541.39</v>
      </c>
      <c r="D208" s="664">
        <f t="shared" si="2"/>
        <v>-3.9012039275015599E-2</v>
      </c>
      <c r="E208" s="668">
        <f t="shared" si="3"/>
        <v>1.2268517112937498E-2</v>
      </c>
    </row>
    <row r="209" spans="1:5" outlineLevel="2">
      <c r="A209" s="658">
        <v>44330</v>
      </c>
      <c r="B209" s="661">
        <v>11.5</v>
      </c>
      <c r="C209" s="661">
        <v>8669.49</v>
      </c>
      <c r="D209" s="664">
        <f t="shared" si="2"/>
        <v>3.9012039275015661E-2</v>
      </c>
      <c r="E209" s="668">
        <f t="shared" si="3"/>
        <v>1.4886207510882285E-2</v>
      </c>
    </row>
    <row r="210" spans="1:5" outlineLevel="2">
      <c r="A210" s="658">
        <v>44333</v>
      </c>
      <c r="B210" s="661">
        <v>11.32</v>
      </c>
      <c r="C210" s="661">
        <v>8647.57</v>
      </c>
      <c r="D210" s="664">
        <f t="shared" si="2"/>
        <v>-1.5775962594167435E-2</v>
      </c>
      <c r="E210" s="668">
        <f t="shared" si="3"/>
        <v>-2.5316089113492654E-3</v>
      </c>
    </row>
    <row r="211" spans="1:5" outlineLevel="2">
      <c r="A211" s="658">
        <v>44334</v>
      </c>
      <c r="B211" s="661">
        <v>11.41</v>
      </c>
      <c r="C211" s="661">
        <v>8574.98</v>
      </c>
      <c r="D211" s="664">
        <f t="shared" si="2"/>
        <v>7.9190910989474523E-3</v>
      </c>
      <c r="E211" s="668">
        <f t="shared" si="3"/>
        <v>-8.4296959337501511E-3</v>
      </c>
    </row>
    <row r="212" spans="1:5" outlineLevel="2">
      <c r="A212" s="658">
        <v>44335</v>
      </c>
      <c r="B212" s="661">
        <v>11.26</v>
      </c>
      <c r="C212" s="661">
        <v>8550.9500000000007</v>
      </c>
      <c r="D212" s="664">
        <f t="shared" si="2"/>
        <v>-1.3233541162440032E-2</v>
      </c>
      <c r="E212" s="668">
        <f t="shared" si="3"/>
        <v>-2.8062728003698202E-3</v>
      </c>
    </row>
    <row r="213" spans="1:5" outlineLevel="2">
      <c r="A213" s="658">
        <v>44336</v>
      </c>
      <c r="B213" s="661">
        <v>11.46</v>
      </c>
      <c r="C213" s="661">
        <v>8641.98</v>
      </c>
      <c r="D213" s="664">
        <f t="shared" si="2"/>
        <v>1.7606088575049271E-2</v>
      </c>
      <c r="E213" s="668">
        <f t="shared" si="3"/>
        <v>1.0589335340563699E-2</v>
      </c>
    </row>
    <row r="214" spans="1:5" outlineLevel="2">
      <c r="A214" s="658">
        <v>44337</v>
      </c>
      <c r="B214" s="661">
        <v>11.35</v>
      </c>
      <c r="C214" s="661">
        <v>8635.5499999999993</v>
      </c>
      <c r="D214" s="664">
        <f t="shared" si="2"/>
        <v>-9.6449673591819558E-3</v>
      </c>
      <c r="E214" s="668">
        <f t="shared" si="3"/>
        <v>-7.4431939019731696E-4</v>
      </c>
    </row>
    <row r="215" spans="1:5" outlineLevel="2">
      <c r="A215" s="658">
        <v>44340</v>
      </c>
      <c r="B215" s="661">
        <v>11.37</v>
      </c>
      <c r="C215" s="661">
        <v>8722</v>
      </c>
      <c r="D215" s="664">
        <f t="shared" si="2"/>
        <v>1.7605638350329589E-3</v>
      </c>
      <c r="E215" s="668">
        <f t="shared" si="3"/>
        <v>9.9611655828106636E-3</v>
      </c>
    </row>
    <row r="216" spans="1:5" outlineLevel="2">
      <c r="A216" s="658">
        <v>44341</v>
      </c>
      <c r="B216" s="661">
        <v>11.45</v>
      </c>
      <c r="C216" s="661">
        <v>8703.59</v>
      </c>
      <c r="D216" s="664">
        <f t="shared" si="2"/>
        <v>7.0114222378040826E-3</v>
      </c>
      <c r="E216" s="668">
        <f t="shared" si="3"/>
        <v>-2.1129851958646461E-3</v>
      </c>
    </row>
    <row r="217" spans="1:5" outlineLevel="2">
      <c r="A217" s="658">
        <v>44342</v>
      </c>
      <c r="B217" s="661">
        <v>11.64</v>
      </c>
      <c r="C217" s="661">
        <v>8720.0400000000009</v>
      </c>
      <c r="D217" s="664">
        <f t="shared" si="2"/>
        <v>1.6457712303043302E-2</v>
      </c>
      <c r="E217" s="668">
        <f t="shared" si="3"/>
        <v>1.888240841620654E-3</v>
      </c>
    </row>
    <row r="218" spans="1:5" outlineLevel="2">
      <c r="A218" s="658">
        <v>44343</v>
      </c>
      <c r="B218" s="661">
        <v>11.88</v>
      </c>
      <c r="C218" s="661">
        <v>8730.9699999999993</v>
      </c>
      <c r="D218" s="664">
        <f t="shared" si="2"/>
        <v>2.0408871631207033E-2</v>
      </c>
      <c r="E218" s="668">
        <f t="shared" si="3"/>
        <v>1.252649723908778E-3</v>
      </c>
    </row>
    <row r="219" spans="1:5" outlineLevel="2">
      <c r="A219" s="658">
        <v>44344</v>
      </c>
      <c r="B219" s="661">
        <v>11.79</v>
      </c>
      <c r="C219" s="661">
        <v>8738.77</v>
      </c>
      <c r="D219" s="664">
        <f t="shared" si="2"/>
        <v>-7.6045993852194155E-3</v>
      </c>
      <c r="E219" s="668">
        <f t="shared" si="3"/>
        <v>8.9297270804381012E-4</v>
      </c>
    </row>
    <row r="220" spans="1:5" outlineLevel="2">
      <c r="A220" s="658">
        <v>44348</v>
      </c>
      <c r="B220" s="661">
        <v>11.73</v>
      </c>
      <c r="C220" s="661">
        <v>8734.74</v>
      </c>
      <c r="D220" s="664">
        <f t="shared" si="2"/>
        <v>-5.1020518838953985E-3</v>
      </c>
      <c r="E220" s="668">
        <f t="shared" si="3"/>
        <v>-4.6126966722260978E-4</v>
      </c>
    </row>
    <row r="221" spans="1:5" outlineLevel="2">
      <c r="A221" s="658">
        <v>44349</v>
      </c>
      <c r="B221" s="661">
        <v>11.73</v>
      </c>
      <c r="C221" s="661">
        <v>8748.2999999999993</v>
      </c>
      <c r="D221" s="664">
        <f t="shared" si="2"/>
        <v>0</v>
      </c>
      <c r="E221" s="668">
        <f t="shared" si="3"/>
        <v>1.5512179482622525E-3</v>
      </c>
    </row>
    <row r="222" spans="1:5" outlineLevel="2">
      <c r="A222" s="658">
        <v>44350</v>
      </c>
      <c r="B222" s="661">
        <v>11.4</v>
      </c>
      <c r="C222" s="661">
        <v>8717.9699999999993</v>
      </c>
      <c r="D222" s="664">
        <f t="shared" si="2"/>
        <v>-2.853630726493436E-2</v>
      </c>
      <c r="E222" s="668">
        <f t="shared" si="3"/>
        <v>-3.4729831252715174E-3</v>
      </c>
    </row>
    <row r="223" spans="1:5" outlineLevel="2">
      <c r="A223" s="658">
        <v>44351</v>
      </c>
      <c r="B223" s="661">
        <v>11.38</v>
      </c>
      <c r="C223" s="661">
        <v>8795.08</v>
      </c>
      <c r="D223" s="664">
        <f t="shared" si="2"/>
        <v>-1.7559267022649199E-3</v>
      </c>
      <c r="E223" s="668">
        <f t="shared" si="3"/>
        <v>8.8060615714175561E-3</v>
      </c>
    </row>
    <row r="224" spans="1:5" outlineLevel="2">
      <c r="A224" s="658">
        <v>44354</v>
      </c>
      <c r="B224" s="661">
        <v>11.89</v>
      </c>
      <c r="C224" s="661">
        <v>8788.2800000000007</v>
      </c>
      <c r="D224" s="664">
        <f t="shared" si="2"/>
        <v>4.3840282004505661E-2</v>
      </c>
      <c r="E224" s="668">
        <f t="shared" si="3"/>
        <v>-7.7345858118144648E-4</v>
      </c>
    </row>
    <row r="225" spans="1:5" outlineLevel="2">
      <c r="A225" s="658">
        <v>44355</v>
      </c>
      <c r="B225" s="661">
        <v>11.85</v>
      </c>
      <c r="C225" s="661">
        <v>8790</v>
      </c>
      <c r="D225" s="664">
        <f t="shared" ref="D225:D288" si="4">LN(B225/B224)</f>
        <v>-3.369843121550324E-3</v>
      </c>
      <c r="E225" s="668">
        <f t="shared" ref="E225:E288" si="5">LN(C225/C224)</f>
        <v>1.9569605279790245E-4</v>
      </c>
    </row>
    <row r="226" spans="1:5" outlineLevel="2">
      <c r="A226" s="658">
        <v>44356</v>
      </c>
      <c r="B226" s="661">
        <v>11.52</v>
      </c>
      <c r="C226" s="661">
        <v>8774.31</v>
      </c>
      <c r="D226" s="664">
        <f t="shared" si="4"/>
        <v>-2.824321231339505E-2</v>
      </c>
      <c r="E226" s="668">
        <f t="shared" si="5"/>
        <v>-1.7865779154840496E-3</v>
      </c>
    </row>
    <row r="227" spans="1:5" outlineLevel="2">
      <c r="A227" s="658">
        <v>44357</v>
      </c>
      <c r="B227" s="661">
        <v>11.66</v>
      </c>
      <c r="C227" s="661">
        <v>8815.56</v>
      </c>
      <c r="D227" s="664">
        <f t="shared" si="4"/>
        <v>1.2079525654601261E-2</v>
      </c>
      <c r="E227" s="668">
        <f t="shared" si="5"/>
        <v>4.6902081275503292E-3</v>
      </c>
    </row>
    <row r="228" spans="1:5" outlineLevel="2">
      <c r="A228" s="658">
        <v>44358</v>
      </c>
      <c r="B228" s="661">
        <v>11.74</v>
      </c>
      <c r="C228" s="661">
        <v>8832.94</v>
      </c>
      <c r="D228" s="664">
        <f t="shared" si="4"/>
        <v>6.8376334776039686E-3</v>
      </c>
      <c r="E228" s="668">
        <f t="shared" si="5"/>
        <v>1.9695731216138302E-3</v>
      </c>
    </row>
    <row r="229" spans="1:5" outlineLevel="2">
      <c r="A229" s="658">
        <v>44361</v>
      </c>
      <c r="B229" s="661">
        <v>11.55</v>
      </c>
      <c r="C229" s="661">
        <v>8851.17</v>
      </c>
      <c r="D229" s="664">
        <f t="shared" si="4"/>
        <v>-1.63163774321478E-2</v>
      </c>
      <c r="E229" s="668">
        <f t="shared" si="5"/>
        <v>2.0617386408047092E-3</v>
      </c>
    </row>
    <row r="230" spans="1:5" outlineLevel="2">
      <c r="A230" s="658">
        <v>44362</v>
      </c>
      <c r="B230" s="661">
        <v>11.55</v>
      </c>
      <c r="C230" s="661">
        <v>8833.68</v>
      </c>
      <c r="D230" s="664">
        <f t="shared" si="4"/>
        <v>0</v>
      </c>
      <c r="E230" s="668">
        <f t="shared" si="5"/>
        <v>-1.9779648345608376E-3</v>
      </c>
    </row>
    <row r="231" spans="1:5" outlineLevel="2">
      <c r="A231" s="658">
        <v>44363</v>
      </c>
      <c r="B231" s="661">
        <v>11.8</v>
      </c>
      <c r="C231" s="661">
        <v>8786.18</v>
      </c>
      <c r="D231" s="664">
        <f t="shared" si="4"/>
        <v>2.1414094503816573E-2</v>
      </c>
      <c r="E231" s="668">
        <f t="shared" si="5"/>
        <v>-5.39165635465078E-3</v>
      </c>
    </row>
    <row r="232" spans="1:5" outlineLevel="2">
      <c r="A232" s="658">
        <v>44364</v>
      </c>
      <c r="B232" s="661">
        <v>11.75</v>
      </c>
      <c r="C232" s="661">
        <v>8782.58</v>
      </c>
      <c r="D232" s="664">
        <f t="shared" si="4"/>
        <v>-4.2462908814512078E-3</v>
      </c>
      <c r="E232" s="668">
        <f t="shared" si="5"/>
        <v>-4.0981834237430111E-4</v>
      </c>
    </row>
    <row r="233" spans="1:5" outlineLevel="2">
      <c r="A233" s="658">
        <v>44365</v>
      </c>
      <c r="B233" s="661">
        <v>11.76</v>
      </c>
      <c r="C233" s="661">
        <v>8667.76</v>
      </c>
      <c r="D233" s="664">
        <f t="shared" si="4"/>
        <v>8.5070188031282853E-4</v>
      </c>
      <c r="E233" s="668">
        <f t="shared" si="5"/>
        <v>-1.3159818897185751E-2</v>
      </c>
    </row>
    <row r="234" spans="1:5" outlineLevel="2">
      <c r="A234" s="658">
        <v>44368</v>
      </c>
      <c r="B234" s="661">
        <v>11.8</v>
      </c>
      <c r="C234" s="661">
        <v>8789.52</v>
      </c>
      <c r="D234" s="664">
        <f t="shared" si="4"/>
        <v>3.3955890011383287E-3</v>
      </c>
      <c r="E234" s="668">
        <f t="shared" si="5"/>
        <v>1.3949707454710032E-2</v>
      </c>
    </row>
    <row r="235" spans="1:5" outlineLevel="2">
      <c r="A235" s="658">
        <v>44369</v>
      </c>
      <c r="B235" s="661">
        <v>11.67</v>
      </c>
      <c r="C235" s="661">
        <v>8834.56</v>
      </c>
      <c r="D235" s="664">
        <f t="shared" si="4"/>
        <v>-1.1078085173154565E-2</v>
      </c>
      <c r="E235" s="668">
        <f t="shared" si="5"/>
        <v>5.111199909828416E-3</v>
      </c>
    </row>
    <row r="236" spans="1:5" outlineLevel="2">
      <c r="A236" s="658">
        <v>44370</v>
      </c>
      <c r="B236" s="661">
        <v>11.71</v>
      </c>
      <c r="C236" s="661">
        <v>8825.01</v>
      </c>
      <c r="D236" s="664">
        <f t="shared" si="4"/>
        <v>3.4217313111615387E-3</v>
      </c>
      <c r="E236" s="668">
        <f t="shared" si="5"/>
        <v>-1.0815666441429776E-3</v>
      </c>
    </row>
    <row r="237" spans="1:5" outlineLevel="2">
      <c r="A237" s="658">
        <v>44371</v>
      </c>
      <c r="B237" s="661">
        <v>11.75</v>
      </c>
      <c r="C237" s="661">
        <v>8877.06</v>
      </c>
      <c r="D237" s="664">
        <f t="shared" si="4"/>
        <v>3.4100629805419642E-3</v>
      </c>
      <c r="E237" s="668">
        <f t="shared" si="5"/>
        <v>5.8806851403619322E-3</v>
      </c>
    </row>
    <row r="238" spans="1:5" outlineLevel="2">
      <c r="A238" s="658">
        <v>44372</v>
      </c>
      <c r="B238" s="661">
        <v>11.75</v>
      </c>
      <c r="C238" s="661">
        <v>8906.7900000000009</v>
      </c>
      <c r="D238" s="664">
        <f t="shared" si="4"/>
        <v>0</v>
      </c>
      <c r="E238" s="668">
        <f t="shared" si="5"/>
        <v>3.3434861062952687E-3</v>
      </c>
    </row>
    <row r="239" spans="1:5" outlineLevel="2">
      <c r="A239" s="658">
        <v>44375</v>
      </c>
      <c r="B239" s="661">
        <v>11.84</v>
      </c>
      <c r="C239" s="661">
        <v>8927.4</v>
      </c>
      <c r="D239" s="664">
        <f t="shared" si="4"/>
        <v>7.6303888656917328E-3</v>
      </c>
      <c r="E239" s="668">
        <f t="shared" si="5"/>
        <v>2.3112918697180888E-3</v>
      </c>
    </row>
    <row r="240" spans="1:5" outlineLevel="2">
      <c r="A240" s="658">
        <v>44376</v>
      </c>
      <c r="B240" s="661">
        <v>11.75</v>
      </c>
      <c r="C240" s="661">
        <v>8930.67</v>
      </c>
      <c r="D240" s="664">
        <f t="shared" si="4"/>
        <v>-7.6303888656916192E-3</v>
      </c>
      <c r="E240" s="668">
        <f t="shared" si="5"/>
        <v>3.6622098989963839E-4</v>
      </c>
    </row>
    <row r="241" spans="1:5" outlineLevel="2">
      <c r="A241" s="658">
        <v>44377</v>
      </c>
      <c r="B241" s="661">
        <v>11.7</v>
      </c>
      <c r="C241" s="661">
        <v>8942.7800000000007</v>
      </c>
      <c r="D241" s="664">
        <f t="shared" si="4"/>
        <v>-4.2643987864575397E-3</v>
      </c>
      <c r="E241" s="668">
        <f t="shared" si="5"/>
        <v>1.3550827459815043E-3</v>
      </c>
    </row>
    <row r="242" spans="1:5" outlineLevel="2">
      <c r="A242" s="658">
        <v>44378</v>
      </c>
      <c r="B242" s="661">
        <v>11.64</v>
      </c>
      <c r="C242" s="661">
        <v>8990.08</v>
      </c>
      <c r="D242" s="664">
        <f t="shared" si="4"/>
        <v>-5.1413995004185404E-3</v>
      </c>
      <c r="E242" s="668">
        <f t="shared" si="5"/>
        <v>5.2752444049026653E-3</v>
      </c>
    </row>
    <row r="243" spans="1:5" outlineLevel="2">
      <c r="A243" s="658">
        <v>44379</v>
      </c>
      <c r="B243" s="661">
        <v>11.4</v>
      </c>
      <c r="C243" s="661">
        <v>9058.66</v>
      </c>
      <c r="D243" s="664">
        <f t="shared" si="4"/>
        <v>-2.0834086902842025E-2</v>
      </c>
      <c r="E243" s="668">
        <f t="shared" si="5"/>
        <v>7.5994590260694984E-3</v>
      </c>
    </row>
    <row r="244" spans="1:5" outlineLevel="2">
      <c r="A244" s="658">
        <v>44383</v>
      </c>
      <c r="B244" s="661">
        <v>11.16</v>
      </c>
      <c r="C244" s="661">
        <v>9040.76</v>
      </c>
      <c r="D244" s="664">
        <f t="shared" si="4"/>
        <v>-2.1277398447284965E-2</v>
      </c>
      <c r="E244" s="668">
        <f t="shared" si="5"/>
        <v>-1.9779645796287218E-3</v>
      </c>
    </row>
    <row r="245" spans="1:5" outlineLevel="2">
      <c r="A245" s="658">
        <v>44384</v>
      </c>
      <c r="B245" s="661">
        <v>11.09</v>
      </c>
      <c r="C245" s="661">
        <v>9071.14</v>
      </c>
      <c r="D245" s="664">
        <f t="shared" si="4"/>
        <v>-6.2921555908892444E-3</v>
      </c>
      <c r="E245" s="668">
        <f t="shared" si="5"/>
        <v>3.3547036469352819E-3</v>
      </c>
    </row>
    <row r="246" spans="1:5" outlineLevel="2">
      <c r="A246" s="658">
        <v>44385</v>
      </c>
      <c r="B246" s="661">
        <v>11.17</v>
      </c>
      <c r="C246" s="661">
        <v>8995.26</v>
      </c>
      <c r="D246" s="664">
        <f t="shared" si="4"/>
        <v>7.1878117188336156E-3</v>
      </c>
      <c r="E246" s="668">
        <f t="shared" si="5"/>
        <v>-8.4001733817797852E-3</v>
      </c>
    </row>
    <row r="247" spans="1:5" outlineLevel="2">
      <c r="A247" s="658">
        <v>44386</v>
      </c>
      <c r="B247" s="661">
        <v>11.34</v>
      </c>
      <c r="C247" s="661">
        <v>9096.84</v>
      </c>
      <c r="D247" s="664">
        <f t="shared" si="4"/>
        <v>1.5104685218496628E-2</v>
      </c>
      <c r="E247" s="668">
        <f t="shared" si="5"/>
        <v>1.1229328537405579E-2</v>
      </c>
    </row>
    <row r="248" spans="1:5" outlineLevel="2">
      <c r="A248" s="658">
        <v>44389</v>
      </c>
      <c r="B248" s="661">
        <v>11.28</v>
      </c>
      <c r="C248" s="661">
        <v>9128.2199999999993</v>
      </c>
      <c r="D248" s="664">
        <f t="shared" si="4"/>
        <v>-5.3050522296932291E-3</v>
      </c>
      <c r="E248" s="668">
        <f t="shared" si="5"/>
        <v>3.4436134651849898E-3</v>
      </c>
    </row>
    <row r="249" spans="1:5" outlineLevel="2">
      <c r="A249" s="658">
        <v>44390</v>
      </c>
      <c r="B249" s="661">
        <v>11.2</v>
      </c>
      <c r="C249" s="661">
        <v>9096.15</v>
      </c>
      <c r="D249" s="664">
        <f t="shared" si="4"/>
        <v>-7.1174677688639896E-3</v>
      </c>
      <c r="E249" s="668">
        <f t="shared" si="5"/>
        <v>-3.5194668571046877E-3</v>
      </c>
    </row>
    <row r="250" spans="1:5" outlineLevel="2">
      <c r="A250" s="658">
        <v>44391</v>
      </c>
      <c r="B250" s="661">
        <v>11.42</v>
      </c>
      <c r="C250" s="661">
        <v>9107.85</v>
      </c>
      <c r="D250" s="664">
        <f t="shared" si="4"/>
        <v>1.945242592681545E-2</v>
      </c>
      <c r="E250" s="668">
        <f t="shared" si="5"/>
        <v>1.2854319502338153E-3</v>
      </c>
    </row>
    <row r="251" spans="1:5" outlineLevel="2">
      <c r="A251" s="658">
        <v>44392</v>
      </c>
      <c r="B251" s="661">
        <v>11</v>
      </c>
      <c r="C251" s="661">
        <v>9078.33</v>
      </c>
      <c r="D251" s="664">
        <f t="shared" si="4"/>
        <v>-3.747093142949362E-2</v>
      </c>
      <c r="E251" s="668">
        <f t="shared" si="5"/>
        <v>-3.2464240347997758E-3</v>
      </c>
    </row>
    <row r="252" spans="1:5" outlineLevel="2">
      <c r="A252" s="658">
        <v>44393</v>
      </c>
      <c r="B252" s="661">
        <v>10.73</v>
      </c>
      <c r="C252" s="661">
        <v>9009.89</v>
      </c>
      <c r="D252" s="664">
        <f t="shared" si="4"/>
        <v>-2.4851716155763433E-2</v>
      </c>
      <c r="E252" s="668">
        <f t="shared" si="5"/>
        <v>-7.5673921041966288E-3</v>
      </c>
    </row>
    <row r="253" spans="1:5" outlineLevel="2">
      <c r="A253" s="658">
        <v>44396</v>
      </c>
      <c r="B253" s="661">
        <v>10.85</v>
      </c>
      <c r="C253" s="661">
        <v>8867.07</v>
      </c>
      <c r="D253" s="664">
        <f t="shared" si="4"/>
        <v>1.1121523343861416E-2</v>
      </c>
      <c r="E253" s="668">
        <f t="shared" si="5"/>
        <v>-1.597844808190485E-2</v>
      </c>
    </row>
    <row r="254" spans="1:5" outlineLevel="2">
      <c r="A254" s="658">
        <v>44397</v>
      </c>
      <c r="B254" s="661">
        <v>10.84</v>
      </c>
      <c r="C254" s="661">
        <v>9001.77</v>
      </c>
      <c r="D254" s="664">
        <f t="shared" si="4"/>
        <v>-9.2208397496842498E-4</v>
      </c>
      <c r="E254" s="668">
        <f t="shared" si="5"/>
        <v>1.5076809859764629E-2</v>
      </c>
    </row>
    <row r="255" spans="1:5" outlineLevel="2">
      <c r="A255" s="658">
        <v>44398</v>
      </c>
      <c r="B255" s="661">
        <v>10.87</v>
      </c>
      <c r="C255" s="661">
        <v>9075.9699999999993</v>
      </c>
      <c r="D255" s="664">
        <f t="shared" si="4"/>
        <v>2.7637051216179423E-3</v>
      </c>
      <c r="E255" s="668">
        <f t="shared" si="5"/>
        <v>8.2090368247095778E-3</v>
      </c>
    </row>
    <row r="256" spans="1:5" outlineLevel="2">
      <c r="A256" s="658">
        <v>44399</v>
      </c>
      <c r="B256" s="661">
        <v>10.87</v>
      </c>
      <c r="C256" s="661">
        <v>9094.9500000000007</v>
      </c>
      <c r="D256" s="664">
        <f t="shared" si="4"/>
        <v>0</v>
      </c>
      <c r="E256" s="668">
        <f t="shared" si="5"/>
        <v>2.0890529376189084E-3</v>
      </c>
    </row>
    <row r="257" spans="1:5" outlineLevel="2">
      <c r="A257" s="658">
        <v>44400</v>
      </c>
      <c r="B257" s="661">
        <v>10.67</v>
      </c>
      <c r="C257" s="661">
        <v>9187.64</v>
      </c>
      <c r="D257" s="664">
        <f t="shared" si="4"/>
        <v>-1.8570635819456064E-2</v>
      </c>
      <c r="E257" s="668">
        <f t="shared" si="5"/>
        <v>1.0139788089233451E-2</v>
      </c>
    </row>
    <row r="258" spans="1:5" outlineLevel="2">
      <c r="A258" s="658">
        <v>44403</v>
      </c>
      <c r="B258" s="661">
        <v>11.01</v>
      </c>
      <c r="C258" s="661">
        <v>9209.6299999999992</v>
      </c>
      <c r="D258" s="664">
        <f t="shared" si="4"/>
        <v>3.1367885420926583E-2</v>
      </c>
      <c r="E258" s="668">
        <f t="shared" si="5"/>
        <v>2.3905732179224279E-3</v>
      </c>
    </row>
    <row r="259" spans="1:5" outlineLevel="2">
      <c r="A259" s="658">
        <v>44404</v>
      </c>
      <c r="B259" s="661">
        <v>10.65</v>
      </c>
      <c r="C259" s="661">
        <v>9166.27</v>
      </c>
      <c r="D259" s="664">
        <f t="shared" si="4"/>
        <v>-3.3244058579154398E-2</v>
      </c>
      <c r="E259" s="668">
        <f t="shared" si="5"/>
        <v>-4.7192333951651773E-3</v>
      </c>
    </row>
    <row r="260" spans="1:5" outlineLevel="2">
      <c r="A260" s="658">
        <v>44405</v>
      </c>
      <c r="B260" s="661">
        <v>10.74</v>
      </c>
      <c r="C260" s="661">
        <v>9164.6200000000008</v>
      </c>
      <c r="D260" s="664">
        <f t="shared" si="4"/>
        <v>8.4151969252844981E-3</v>
      </c>
      <c r="E260" s="668">
        <f t="shared" si="5"/>
        <v>-1.8002399277459175E-4</v>
      </c>
    </row>
    <row r="261" spans="1:5" outlineLevel="2">
      <c r="A261" s="658">
        <v>44406</v>
      </c>
      <c r="B261" s="661">
        <v>10.66</v>
      </c>
      <c r="C261" s="661">
        <v>9204.25</v>
      </c>
      <c r="D261" s="664">
        <f t="shared" si="4"/>
        <v>-7.4766703430201396E-3</v>
      </c>
      <c r="E261" s="668">
        <f t="shared" si="5"/>
        <v>4.3149155595921963E-3</v>
      </c>
    </row>
    <row r="262" spans="1:5" outlineLevel="2">
      <c r="A262" s="658">
        <v>44407</v>
      </c>
      <c r="B262" s="661">
        <v>10.68</v>
      </c>
      <c r="C262" s="661">
        <v>9155.2099999999991</v>
      </c>
      <c r="D262" s="664">
        <f t="shared" si="4"/>
        <v>1.874414794350352E-3</v>
      </c>
      <c r="E262" s="668">
        <f t="shared" si="5"/>
        <v>-5.3422177591838467E-3</v>
      </c>
    </row>
    <row r="263" spans="1:5" outlineLevel="2">
      <c r="A263" s="658">
        <v>44410</v>
      </c>
      <c r="B263" s="661">
        <v>10.86</v>
      </c>
      <c r="C263" s="661">
        <v>9138.36</v>
      </c>
      <c r="D263" s="664">
        <f t="shared" si="4"/>
        <v>1.6713480973740532E-2</v>
      </c>
      <c r="E263" s="668">
        <f t="shared" si="5"/>
        <v>-1.8421778543177302E-3</v>
      </c>
    </row>
    <row r="264" spans="1:5" outlineLevel="2">
      <c r="A264" s="658">
        <v>44411</v>
      </c>
      <c r="B264" s="661">
        <v>10.82</v>
      </c>
      <c r="C264" s="661">
        <v>9213.35</v>
      </c>
      <c r="D264" s="664">
        <f t="shared" si="4"/>
        <v>-3.6900410874537957E-3</v>
      </c>
      <c r="E264" s="668">
        <f t="shared" si="5"/>
        <v>8.1725809080590902E-3</v>
      </c>
    </row>
    <row r="265" spans="1:5" outlineLevel="2">
      <c r="A265" s="658">
        <v>44412</v>
      </c>
      <c r="B265" s="661">
        <v>10.7</v>
      </c>
      <c r="C265" s="661">
        <v>9170.76</v>
      </c>
      <c r="D265" s="664">
        <f t="shared" si="4"/>
        <v>-1.1152531950475116E-2</v>
      </c>
      <c r="E265" s="668">
        <f t="shared" si="5"/>
        <v>-4.6333574150161875E-3</v>
      </c>
    </row>
    <row r="266" spans="1:5" outlineLevel="2">
      <c r="A266" s="658">
        <v>44413</v>
      </c>
      <c r="B266" s="661">
        <v>10.71</v>
      </c>
      <c r="C266" s="661">
        <v>9226.49</v>
      </c>
      <c r="D266" s="664">
        <f t="shared" si="4"/>
        <v>9.3414299179714387E-4</v>
      </c>
      <c r="E266" s="668">
        <f t="shared" si="5"/>
        <v>6.0585327119906758E-3</v>
      </c>
    </row>
    <row r="267" spans="1:5" outlineLevel="2">
      <c r="A267" s="658">
        <v>44414</v>
      </c>
      <c r="B267" s="661">
        <v>10.84</v>
      </c>
      <c r="C267" s="661">
        <v>9243.0300000000007</v>
      </c>
      <c r="D267" s="664">
        <f t="shared" si="4"/>
        <v>1.2065111551842709E-2</v>
      </c>
      <c r="E267" s="668">
        <f t="shared" si="5"/>
        <v>1.791059477620278E-3</v>
      </c>
    </row>
    <row r="268" spans="1:5" outlineLevel="2">
      <c r="A268" s="658">
        <v>44417</v>
      </c>
      <c r="B268" s="661">
        <v>10.71</v>
      </c>
      <c r="C268" s="661">
        <v>9235.0499999999993</v>
      </c>
      <c r="D268" s="664">
        <f t="shared" si="4"/>
        <v>-1.2065111551842643E-2</v>
      </c>
      <c r="E268" s="668">
        <f t="shared" si="5"/>
        <v>-8.6372615510992587E-4</v>
      </c>
    </row>
    <row r="269" spans="1:5" outlineLevel="2">
      <c r="A269" s="658">
        <v>44418</v>
      </c>
      <c r="B269" s="661">
        <v>10.52</v>
      </c>
      <c r="C269" s="661">
        <v>9244.2199999999993</v>
      </c>
      <c r="D269" s="664">
        <f t="shared" si="4"/>
        <v>-1.789967715009376E-2</v>
      </c>
      <c r="E269" s="668">
        <f t="shared" si="5"/>
        <v>9.9246352834195706E-4</v>
      </c>
    </row>
    <row r="270" spans="1:5" outlineLevel="2">
      <c r="A270" s="658">
        <v>44419</v>
      </c>
      <c r="B270" s="661">
        <v>10.56</v>
      </c>
      <c r="C270" s="661">
        <v>9267.4</v>
      </c>
      <c r="D270" s="664">
        <f t="shared" si="4"/>
        <v>3.7950709685517555E-3</v>
      </c>
      <c r="E270" s="668">
        <f t="shared" si="5"/>
        <v>2.5043742379326763E-3</v>
      </c>
    </row>
    <row r="271" spans="1:5" outlineLevel="2">
      <c r="A271" s="658">
        <v>44420</v>
      </c>
      <c r="B271" s="661">
        <v>10.52</v>
      </c>
      <c r="C271" s="661">
        <v>9297.2000000000007</v>
      </c>
      <c r="D271" s="664">
        <f t="shared" si="4"/>
        <v>-3.7950709685517208E-3</v>
      </c>
      <c r="E271" s="668">
        <f t="shared" si="5"/>
        <v>3.2104139701487973E-3</v>
      </c>
    </row>
    <row r="272" spans="1:5" outlineLevel="2">
      <c r="A272" s="658">
        <v>44421</v>
      </c>
      <c r="B272" s="661">
        <v>10.51</v>
      </c>
      <c r="C272" s="661">
        <v>9312.51</v>
      </c>
      <c r="D272" s="664">
        <f t="shared" si="4"/>
        <v>-9.510224207039691E-4</v>
      </c>
      <c r="E272" s="668">
        <f t="shared" si="5"/>
        <v>1.6453779724696102E-3</v>
      </c>
    </row>
    <row r="273" spans="1:5" outlineLevel="2">
      <c r="A273" s="658">
        <v>44424</v>
      </c>
      <c r="B273" s="661">
        <v>10.38</v>
      </c>
      <c r="C273" s="661">
        <v>9337.18</v>
      </c>
      <c r="D273" s="664">
        <f t="shared" si="4"/>
        <v>-1.2446307151117044E-2</v>
      </c>
      <c r="E273" s="668">
        <f t="shared" si="5"/>
        <v>2.6456219260937051E-3</v>
      </c>
    </row>
    <row r="274" spans="1:5" outlineLevel="2">
      <c r="A274" s="658">
        <v>44425</v>
      </c>
      <c r="B274" s="661">
        <v>10.44</v>
      </c>
      <c r="C274" s="661">
        <v>9271.83</v>
      </c>
      <c r="D274" s="664">
        <f t="shared" si="4"/>
        <v>5.7637047167499126E-3</v>
      </c>
      <c r="E274" s="668">
        <f t="shared" si="5"/>
        <v>-7.0235083586863267E-3</v>
      </c>
    </row>
    <row r="275" spans="1:5" outlineLevel="2">
      <c r="A275" s="658">
        <v>44426</v>
      </c>
      <c r="B275" s="661">
        <v>10.54</v>
      </c>
      <c r="C275" s="661">
        <v>9173.93</v>
      </c>
      <c r="D275" s="664">
        <f t="shared" si="4"/>
        <v>9.5329606587234664E-3</v>
      </c>
      <c r="E275" s="668">
        <f t="shared" si="5"/>
        <v>-1.0615005211571087E-2</v>
      </c>
    </row>
    <row r="276" spans="1:5" outlineLevel="2">
      <c r="A276" s="658">
        <v>44427</v>
      </c>
      <c r="B276" s="661">
        <v>10.56</v>
      </c>
      <c r="C276" s="661">
        <v>9186.07</v>
      </c>
      <c r="D276" s="664">
        <f t="shared" si="4"/>
        <v>1.8957351648991973E-3</v>
      </c>
      <c r="E276" s="668">
        <f t="shared" si="5"/>
        <v>1.3224402798747434E-3</v>
      </c>
    </row>
    <row r="277" spans="1:5" outlineLevel="2">
      <c r="A277" s="658">
        <v>44428</v>
      </c>
      <c r="B277" s="661">
        <v>10.31</v>
      </c>
      <c r="C277" s="661">
        <v>9261.31</v>
      </c>
      <c r="D277" s="664">
        <f t="shared" si="4"/>
        <v>-2.3958980249246864E-2</v>
      </c>
      <c r="E277" s="668">
        <f t="shared" si="5"/>
        <v>8.1573011685272829E-3</v>
      </c>
    </row>
    <row r="278" spans="1:5" outlineLevel="2">
      <c r="A278" s="658">
        <v>44431</v>
      </c>
      <c r="B278" s="661">
        <v>10.26</v>
      </c>
      <c r="C278" s="661">
        <v>9341.09</v>
      </c>
      <c r="D278" s="664">
        <f t="shared" si="4"/>
        <v>-4.8614582862452002E-3</v>
      </c>
      <c r="E278" s="668">
        <f t="shared" si="5"/>
        <v>8.5774404521785086E-3</v>
      </c>
    </row>
    <row r="279" spans="1:5" outlineLevel="2">
      <c r="A279" s="658">
        <v>44432</v>
      </c>
      <c r="B279" s="661">
        <v>10.26</v>
      </c>
      <c r="C279" s="661">
        <v>9355.11</v>
      </c>
      <c r="D279" s="664">
        <f t="shared" si="4"/>
        <v>0</v>
      </c>
      <c r="E279" s="668">
        <f t="shared" si="5"/>
        <v>1.4997702878600462E-3</v>
      </c>
    </row>
    <row r="280" spans="1:5" outlineLevel="2">
      <c r="A280" s="658">
        <v>44433</v>
      </c>
      <c r="B280" s="661">
        <v>10.34</v>
      </c>
      <c r="C280" s="661">
        <v>9376</v>
      </c>
      <c r="D280" s="664">
        <f t="shared" si="4"/>
        <v>7.7670293376595964E-3</v>
      </c>
      <c r="E280" s="668">
        <f t="shared" si="5"/>
        <v>2.2305147597751259E-3</v>
      </c>
    </row>
    <row r="281" spans="1:5" outlineLevel="2">
      <c r="A281" s="658">
        <v>44434</v>
      </c>
      <c r="B281" s="661">
        <v>10.41</v>
      </c>
      <c r="C281" s="661">
        <v>9321.74</v>
      </c>
      <c r="D281" s="664">
        <f t="shared" si="4"/>
        <v>6.7470135465944282E-3</v>
      </c>
      <c r="E281" s="668">
        <f t="shared" si="5"/>
        <v>-5.8039262835818074E-3</v>
      </c>
    </row>
    <row r="282" spans="1:5" outlineLevel="2">
      <c r="A282" s="658">
        <v>44435</v>
      </c>
      <c r="B282" s="661">
        <v>10.53</v>
      </c>
      <c r="C282" s="661">
        <v>9404.15</v>
      </c>
      <c r="D282" s="664">
        <f t="shared" si="4"/>
        <v>1.1461443519006598E-2</v>
      </c>
      <c r="E282" s="668">
        <f t="shared" si="5"/>
        <v>8.8017746588316507E-3</v>
      </c>
    </row>
    <row r="283" spans="1:5" outlineLevel="2">
      <c r="A283" s="658">
        <v>44438</v>
      </c>
      <c r="B283" s="661">
        <v>10.49</v>
      </c>
      <c r="C283" s="661">
        <v>9445.24</v>
      </c>
      <c r="D283" s="664">
        <f t="shared" si="4"/>
        <v>-3.8059037376783006E-3</v>
      </c>
      <c r="E283" s="668">
        <f t="shared" si="5"/>
        <v>4.3598296907149817E-3</v>
      </c>
    </row>
    <row r="284" spans="1:5" outlineLevel="2">
      <c r="A284" s="658">
        <v>44439</v>
      </c>
      <c r="B284" s="661">
        <v>10.75</v>
      </c>
      <c r="C284" s="661">
        <v>9433.58</v>
      </c>
      <c r="D284" s="664">
        <f t="shared" si="4"/>
        <v>2.4483332165465995E-2</v>
      </c>
      <c r="E284" s="668">
        <f t="shared" si="5"/>
        <v>-1.235246851509054E-3</v>
      </c>
    </row>
    <row r="285" spans="1:5" outlineLevel="2">
      <c r="A285" s="658">
        <v>44440</v>
      </c>
      <c r="B285" s="661">
        <v>10.69</v>
      </c>
      <c r="C285" s="661">
        <v>9437.15</v>
      </c>
      <c r="D285" s="664">
        <f t="shared" si="4"/>
        <v>-5.5970295367180197E-3</v>
      </c>
      <c r="E285" s="668">
        <f t="shared" si="5"/>
        <v>3.7836374560923581E-4</v>
      </c>
    </row>
    <row r="286" spans="1:5" outlineLevel="2">
      <c r="A286" s="658">
        <v>44441</v>
      </c>
      <c r="B286" s="661">
        <v>10.69</v>
      </c>
      <c r="C286" s="661">
        <v>9465.4699999999993</v>
      </c>
      <c r="D286" s="664">
        <f t="shared" si="4"/>
        <v>0</v>
      </c>
      <c r="E286" s="668">
        <f t="shared" si="5"/>
        <v>2.9964122634031911E-3</v>
      </c>
    </row>
    <row r="287" spans="1:5" outlineLevel="2">
      <c r="A287" s="658">
        <v>44442</v>
      </c>
      <c r="B287" s="661">
        <v>10.64</v>
      </c>
      <c r="C287" s="661">
        <v>9462.5400000000009</v>
      </c>
      <c r="D287" s="664">
        <f t="shared" si="4"/>
        <v>-4.6882411234553823E-3</v>
      </c>
      <c r="E287" s="668">
        <f t="shared" si="5"/>
        <v>-3.0959409081058627E-4</v>
      </c>
    </row>
    <row r="288" spans="1:5" outlineLevel="2">
      <c r="A288" s="658">
        <v>44446</v>
      </c>
      <c r="B288" s="661">
        <v>10.72</v>
      </c>
      <c r="C288" s="661">
        <v>9430.68</v>
      </c>
      <c r="D288" s="664">
        <f t="shared" si="4"/>
        <v>7.4906717291576587E-3</v>
      </c>
      <c r="E288" s="668">
        <f t="shared" si="5"/>
        <v>-3.3726416354495953E-3</v>
      </c>
    </row>
    <row r="289" spans="1:5" outlineLevel="2">
      <c r="A289" s="658">
        <v>44447</v>
      </c>
      <c r="B289" s="661">
        <v>10.74</v>
      </c>
      <c r="C289" s="661">
        <v>9418.57</v>
      </c>
      <c r="D289" s="664">
        <f t="shared" ref="D289:D352" si="6">LN(B289/B288)</f>
        <v>1.8639334380627327E-3</v>
      </c>
      <c r="E289" s="668">
        <f t="shared" ref="E289:E352" si="7">LN(C289/C288)</f>
        <v>-1.2849319380012435E-3</v>
      </c>
    </row>
    <row r="290" spans="1:5" outlineLevel="2">
      <c r="A290" s="658">
        <v>44448</v>
      </c>
      <c r="B290" s="661">
        <v>10.75</v>
      </c>
      <c r="C290" s="661">
        <v>9375.99</v>
      </c>
      <c r="D290" s="664">
        <f t="shared" si="6"/>
        <v>9.3066549295325787E-4</v>
      </c>
      <c r="E290" s="668">
        <f t="shared" si="7"/>
        <v>-4.5311061126764888E-3</v>
      </c>
    </row>
    <row r="291" spans="1:5" outlineLevel="2">
      <c r="A291" s="658">
        <v>44449</v>
      </c>
      <c r="B291" s="661">
        <v>10.75</v>
      </c>
      <c r="C291" s="661">
        <v>9304.0300000000007</v>
      </c>
      <c r="D291" s="664">
        <f t="shared" si="6"/>
        <v>0</v>
      </c>
      <c r="E291" s="668">
        <f t="shared" si="7"/>
        <v>-7.7045266504175884E-3</v>
      </c>
    </row>
    <row r="292" spans="1:5" outlineLevel="2">
      <c r="A292" s="658">
        <v>44452</v>
      </c>
      <c r="B292" s="661">
        <v>10.59</v>
      </c>
      <c r="C292" s="661">
        <v>9325.2900000000009</v>
      </c>
      <c r="D292" s="664">
        <f t="shared" si="6"/>
        <v>-1.4995594960356759E-2</v>
      </c>
      <c r="E292" s="668">
        <f t="shared" si="7"/>
        <v>2.2824246112504057E-3</v>
      </c>
    </row>
    <row r="293" spans="1:5" outlineLevel="2">
      <c r="A293" s="658">
        <v>44453</v>
      </c>
      <c r="B293" s="661">
        <v>10.23</v>
      </c>
      <c r="C293" s="661">
        <v>9273.99</v>
      </c>
      <c r="D293" s="664">
        <f t="shared" si="6"/>
        <v>-3.4585579649779909E-2</v>
      </c>
      <c r="E293" s="668">
        <f t="shared" si="7"/>
        <v>-5.5163565567050224E-3</v>
      </c>
    </row>
    <row r="294" spans="1:5" outlineLevel="2">
      <c r="A294" s="658">
        <v>44454</v>
      </c>
      <c r="B294" s="661">
        <v>10.24</v>
      </c>
      <c r="C294" s="661">
        <v>9352.83</v>
      </c>
      <c r="D294" s="664">
        <f t="shared" si="6"/>
        <v>9.7703964782661188E-4</v>
      </c>
      <c r="E294" s="668">
        <f t="shared" si="7"/>
        <v>8.4652636155993499E-3</v>
      </c>
    </row>
    <row r="295" spans="1:5" outlineLevel="2">
      <c r="A295" s="658">
        <v>44455</v>
      </c>
      <c r="B295" s="661">
        <v>10.63</v>
      </c>
      <c r="C295" s="661">
        <v>9338.61</v>
      </c>
      <c r="D295" s="664">
        <f t="shared" si="6"/>
        <v>3.7378572742494835E-2</v>
      </c>
      <c r="E295" s="668">
        <f t="shared" si="7"/>
        <v>-1.5215524051029744E-3</v>
      </c>
    </row>
    <row r="296" spans="1:5" outlineLevel="2">
      <c r="A296" s="658">
        <v>44456</v>
      </c>
      <c r="B296" s="661">
        <v>10.45</v>
      </c>
      <c r="C296" s="661">
        <v>9253.57</v>
      </c>
      <c r="D296" s="664">
        <f t="shared" si="6"/>
        <v>-1.7078213943036658E-2</v>
      </c>
      <c r="E296" s="668">
        <f t="shared" si="7"/>
        <v>-9.1479958835108659E-3</v>
      </c>
    </row>
    <row r="297" spans="1:5" outlineLevel="2">
      <c r="A297" s="658">
        <v>44459</v>
      </c>
      <c r="B297" s="661">
        <v>10.26</v>
      </c>
      <c r="C297" s="661">
        <v>9096.52</v>
      </c>
      <c r="D297" s="664">
        <f t="shared" si="6"/>
        <v>-1.8349138668196541E-2</v>
      </c>
      <c r="E297" s="668">
        <f t="shared" si="7"/>
        <v>-1.7117500212164585E-2</v>
      </c>
    </row>
    <row r="298" spans="1:5" outlineLevel="2">
      <c r="A298" s="658">
        <v>44460</v>
      </c>
      <c r="B298" s="661">
        <v>10.220000000000001</v>
      </c>
      <c r="C298" s="661">
        <v>9089.5499999999993</v>
      </c>
      <c r="D298" s="664">
        <f t="shared" si="6"/>
        <v>-3.9062549670649885E-3</v>
      </c>
      <c r="E298" s="668">
        <f t="shared" si="7"/>
        <v>-7.6652078665396151E-4</v>
      </c>
    </row>
    <row r="299" spans="1:5" outlineLevel="2">
      <c r="A299" s="658">
        <v>44461</v>
      </c>
      <c r="B299" s="661">
        <v>10.199999999999999</v>
      </c>
      <c r="C299" s="661">
        <v>9176.08</v>
      </c>
      <c r="D299" s="664">
        <f t="shared" si="6"/>
        <v>-1.9588644853331455E-3</v>
      </c>
      <c r="E299" s="668">
        <f t="shared" si="7"/>
        <v>9.4746961713977965E-3</v>
      </c>
    </row>
    <row r="300" spans="1:5" outlineLevel="2">
      <c r="A300" s="658">
        <v>44462</v>
      </c>
      <c r="B300" s="661">
        <v>10.199999999999999</v>
      </c>
      <c r="C300" s="661">
        <v>9287.7999999999993</v>
      </c>
      <c r="D300" s="664">
        <f t="shared" si="6"/>
        <v>0</v>
      </c>
      <c r="E300" s="668">
        <f t="shared" si="7"/>
        <v>1.2101612817800681E-2</v>
      </c>
    </row>
    <row r="301" spans="1:5" outlineLevel="2">
      <c r="A301" s="658">
        <v>44463</v>
      </c>
      <c r="B301" s="661">
        <v>10.27</v>
      </c>
      <c r="C301" s="661">
        <v>9301.49</v>
      </c>
      <c r="D301" s="664">
        <f t="shared" si="6"/>
        <v>6.8393036502414411E-3</v>
      </c>
      <c r="E301" s="668">
        <f t="shared" si="7"/>
        <v>1.4728913772322084E-3</v>
      </c>
    </row>
    <row r="302" spans="1:5" outlineLevel="2">
      <c r="A302" s="658">
        <v>44466</v>
      </c>
      <c r="B302" s="661">
        <v>10.24</v>
      </c>
      <c r="C302" s="661">
        <v>9275.8700000000008</v>
      </c>
      <c r="D302" s="664">
        <f t="shared" si="6"/>
        <v>-2.9254043291051003E-3</v>
      </c>
      <c r="E302" s="668">
        <f t="shared" si="7"/>
        <v>-2.7581977463256593E-3</v>
      </c>
    </row>
    <row r="303" spans="1:5" outlineLevel="2">
      <c r="A303" s="658">
        <v>44467</v>
      </c>
      <c r="B303" s="661">
        <v>10.24</v>
      </c>
      <c r="C303" s="661">
        <v>9087.4599999999991</v>
      </c>
      <c r="D303" s="664">
        <f t="shared" si="6"/>
        <v>0</v>
      </c>
      <c r="E303" s="668">
        <f t="shared" si="7"/>
        <v>-2.0520963434255596E-2</v>
      </c>
    </row>
    <row r="304" spans="1:5" outlineLevel="2">
      <c r="A304" s="658">
        <v>44468</v>
      </c>
      <c r="B304" s="661">
        <v>10.23</v>
      </c>
      <c r="C304" s="661">
        <v>9102.6200000000008</v>
      </c>
      <c r="D304" s="664">
        <f t="shared" si="6"/>
        <v>-9.7703964782661274E-4</v>
      </c>
      <c r="E304" s="668">
        <f t="shared" si="7"/>
        <v>1.6668429726536887E-3</v>
      </c>
    </row>
    <row r="305" spans="1:5" outlineLevel="2">
      <c r="A305" s="658">
        <v>44469</v>
      </c>
      <c r="B305" s="661">
        <v>10.220000000000001</v>
      </c>
      <c r="C305" s="661">
        <v>8994.83</v>
      </c>
      <c r="D305" s="664">
        <f t="shared" si="6"/>
        <v>-9.7799518797673699E-4</v>
      </c>
      <c r="E305" s="668">
        <f t="shared" si="7"/>
        <v>-1.1912316336633434E-2</v>
      </c>
    </row>
    <row r="306" spans="1:5" outlineLevel="2">
      <c r="A306" s="658">
        <v>44470</v>
      </c>
      <c r="B306" s="661">
        <v>10.31</v>
      </c>
      <c r="C306" s="661">
        <v>9098.25</v>
      </c>
      <c r="D306" s="664">
        <f t="shared" si="6"/>
        <v>8.767713253310154E-3</v>
      </c>
      <c r="E306" s="668">
        <f t="shared" si="7"/>
        <v>1.143211950164986E-2</v>
      </c>
    </row>
    <row r="307" spans="1:5" outlineLevel="2">
      <c r="A307" s="658">
        <v>44473</v>
      </c>
      <c r="B307" s="661">
        <v>10.18</v>
      </c>
      <c r="C307" s="661">
        <v>8980.64</v>
      </c>
      <c r="D307" s="664">
        <f t="shared" si="6"/>
        <v>-1.2689286906491916E-2</v>
      </c>
      <c r="E307" s="668">
        <f t="shared" si="7"/>
        <v>-1.3010938074691922E-2</v>
      </c>
    </row>
    <row r="308" spans="1:5" outlineLevel="2">
      <c r="A308" s="658">
        <v>44474</v>
      </c>
      <c r="B308" s="661">
        <v>10.16</v>
      </c>
      <c r="C308" s="661">
        <v>9076.19</v>
      </c>
      <c r="D308" s="664">
        <f t="shared" si="6"/>
        <v>-1.9665689720408269E-3</v>
      </c>
      <c r="E308" s="668">
        <f t="shared" si="7"/>
        <v>1.0583351768470766E-2</v>
      </c>
    </row>
    <row r="309" spans="1:5" outlineLevel="2">
      <c r="A309" s="658">
        <v>44475</v>
      </c>
      <c r="B309" s="661">
        <v>10.11</v>
      </c>
      <c r="C309" s="661">
        <v>9113.4599999999991</v>
      </c>
      <c r="D309" s="664">
        <f t="shared" si="6"/>
        <v>-4.9334091179558878E-3</v>
      </c>
      <c r="E309" s="668">
        <f t="shared" si="7"/>
        <v>4.0979405493349868E-3</v>
      </c>
    </row>
    <row r="310" spans="1:5" outlineLevel="2">
      <c r="A310" s="658">
        <v>44476</v>
      </c>
      <c r="B310" s="661">
        <v>10.09</v>
      </c>
      <c r="C310" s="661">
        <v>9191.19</v>
      </c>
      <c r="D310" s="664">
        <f t="shared" si="6"/>
        <v>-1.9801986668624536E-3</v>
      </c>
      <c r="E310" s="668">
        <f t="shared" si="7"/>
        <v>8.4929749790962888E-3</v>
      </c>
    </row>
    <row r="311" spans="1:5" outlineLevel="2">
      <c r="A311" s="658">
        <v>44477</v>
      </c>
      <c r="B311" s="661">
        <v>10.09</v>
      </c>
      <c r="C311" s="661">
        <v>9173.74</v>
      </c>
      <c r="D311" s="664">
        <f t="shared" si="6"/>
        <v>0</v>
      </c>
      <c r="E311" s="668">
        <f t="shared" si="7"/>
        <v>-1.90036174943666E-3</v>
      </c>
    </row>
    <row r="312" spans="1:5" outlineLevel="2">
      <c r="A312" s="658">
        <v>44480</v>
      </c>
      <c r="B312" s="661">
        <v>10.1</v>
      </c>
      <c r="C312" s="661">
        <v>9110.76</v>
      </c>
      <c r="D312" s="664">
        <f t="shared" si="6"/>
        <v>9.9058948169608823E-4</v>
      </c>
      <c r="E312" s="668">
        <f t="shared" si="7"/>
        <v>-6.8889222096601595E-3</v>
      </c>
    </row>
    <row r="313" spans="1:5" outlineLevel="2">
      <c r="A313" s="658">
        <v>44481</v>
      </c>
      <c r="B313" s="661">
        <v>10.08</v>
      </c>
      <c r="C313" s="661">
        <v>9088.73</v>
      </c>
      <c r="D313" s="664">
        <f t="shared" si="6"/>
        <v>-1.9821612039912112E-3</v>
      </c>
      <c r="E313" s="668">
        <f t="shared" si="7"/>
        <v>-2.4209481430303853E-3</v>
      </c>
    </row>
    <row r="314" spans="1:5" outlineLevel="2">
      <c r="A314" s="658">
        <v>44482</v>
      </c>
      <c r="B314" s="661">
        <v>10.09</v>
      </c>
      <c r="C314" s="661">
        <v>9116.39</v>
      </c>
      <c r="D314" s="664">
        <f t="shared" si="6"/>
        <v>9.9157172229502751E-4</v>
      </c>
      <c r="E314" s="668">
        <f t="shared" si="7"/>
        <v>3.0387079331288861E-3</v>
      </c>
    </row>
    <row r="315" spans="1:5" outlineLevel="2">
      <c r="A315" s="658">
        <v>44483</v>
      </c>
      <c r="B315" s="661">
        <v>10.54</v>
      </c>
      <c r="C315" s="661">
        <v>9272.9699999999993</v>
      </c>
      <c r="D315" s="664">
        <f t="shared" si="6"/>
        <v>4.3632708747698618E-2</v>
      </c>
      <c r="E315" s="668">
        <f t="shared" si="7"/>
        <v>1.7029824223677971E-2</v>
      </c>
    </row>
    <row r="316" spans="1:5" outlineLevel="2">
      <c r="A316" s="658">
        <v>44484</v>
      </c>
      <c r="B316" s="661">
        <v>10.95</v>
      </c>
      <c r="C316" s="661">
        <v>9342.15</v>
      </c>
      <c r="D316" s="664">
        <f t="shared" si="6"/>
        <v>3.8161913149293486E-2</v>
      </c>
      <c r="E316" s="668">
        <f t="shared" si="7"/>
        <v>7.4327018560674911E-3</v>
      </c>
    </row>
    <row r="317" spans="1:5" outlineLevel="2">
      <c r="A317" s="658">
        <v>44487</v>
      </c>
      <c r="B317" s="661">
        <v>10.68</v>
      </c>
      <c r="C317" s="661">
        <v>9373.68</v>
      </c>
      <c r="D317" s="664">
        <f t="shared" si="6"/>
        <v>-2.4966622730461057E-2</v>
      </c>
      <c r="E317" s="668">
        <f t="shared" si="7"/>
        <v>3.3693434732656583E-3</v>
      </c>
    </row>
    <row r="318" spans="1:5" outlineLevel="2">
      <c r="A318" s="658">
        <v>44488</v>
      </c>
      <c r="B318" s="661">
        <v>10.41</v>
      </c>
      <c r="C318" s="661">
        <v>9443.1200000000008</v>
      </c>
      <c r="D318" s="664">
        <f t="shared" si="6"/>
        <v>-2.560595090517127E-2</v>
      </c>
      <c r="E318" s="668">
        <f t="shared" si="7"/>
        <v>7.3806720828672959E-3</v>
      </c>
    </row>
    <row r="319" spans="1:5" outlineLevel="2">
      <c r="A319" s="658">
        <v>44489</v>
      </c>
      <c r="B319" s="661">
        <v>10.17</v>
      </c>
      <c r="C319" s="661">
        <v>9477.82</v>
      </c>
      <c r="D319" s="664">
        <f t="shared" si="6"/>
        <v>-2.3324672566409004E-2</v>
      </c>
      <c r="E319" s="668">
        <f t="shared" si="7"/>
        <v>3.6678979905814912E-3</v>
      </c>
    </row>
    <row r="320" spans="1:5" outlineLevel="2">
      <c r="A320" s="658">
        <v>44490</v>
      </c>
      <c r="B320" s="661">
        <v>10.87</v>
      </c>
      <c r="C320" s="661">
        <v>9506.91</v>
      </c>
      <c r="D320" s="664">
        <f t="shared" si="6"/>
        <v>6.6564491072649432E-2</v>
      </c>
      <c r="E320" s="668">
        <f t="shared" si="7"/>
        <v>3.06457060667008E-3</v>
      </c>
    </row>
    <row r="321" spans="1:5" outlineLevel="2">
      <c r="A321" s="658">
        <v>44491</v>
      </c>
      <c r="B321" s="661">
        <v>11</v>
      </c>
      <c r="C321" s="661">
        <v>9496.86</v>
      </c>
      <c r="D321" s="664">
        <f t="shared" si="6"/>
        <v>1.1888571665252505E-2</v>
      </c>
      <c r="E321" s="668">
        <f t="shared" si="7"/>
        <v>-1.0576849684992657E-3</v>
      </c>
    </row>
    <row r="322" spans="1:5" outlineLevel="2">
      <c r="A322" s="658">
        <v>44494</v>
      </c>
      <c r="B322" s="661">
        <v>12.8</v>
      </c>
      <c r="C322" s="661">
        <v>9541.99</v>
      </c>
      <c r="D322" s="664">
        <f t="shared" si="6"/>
        <v>0.15154989812720107</v>
      </c>
      <c r="E322" s="668">
        <f t="shared" si="7"/>
        <v>4.7408414401993483E-3</v>
      </c>
    </row>
    <row r="323" spans="1:5" outlineLevel="2">
      <c r="A323" s="658">
        <v>44495</v>
      </c>
      <c r="B323" s="661">
        <v>12.92</v>
      </c>
      <c r="C323" s="661">
        <v>9559.39</v>
      </c>
      <c r="D323" s="664">
        <f t="shared" si="6"/>
        <v>9.3313274288842219E-3</v>
      </c>
      <c r="E323" s="668">
        <f t="shared" si="7"/>
        <v>1.8218584010990908E-3</v>
      </c>
    </row>
    <row r="324" spans="1:5" outlineLevel="2">
      <c r="A324" s="658">
        <v>44496</v>
      </c>
      <c r="B324" s="661">
        <v>13.24</v>
      </c>
      <c r="C324" s="661">
        <v>9511.27</v>
      </c>
      <c r="D324" s="664">
        <f t="shared" si="6"/>
        <v>2.4466052154406424E-2</v>
      </c>
      <c r="E324" s="668">
        <f t="shared" si="7"/>
        <v>-5.0465062167253695E-3</v>
      </c>
    </row>
    <row r="325" spans="1:5" outlineLevel="2">
      <c r="A325" s="658">
        <v>44497</v>
      </c>
      <c r="B325" s="661">
        <v>12.43</v>
      </c>
      <c r="C325" s="661">
        <v>9605.23</v>
      </c>
      <c r="D325" s="664">
        <f t="shared" si="6"/>
        <v>-6.3129644986242489E-2</v>
      </c>
      <c r="E325" s="668">
        <f t="shared" si="7"/>
        <v>9.8303305159361375E-3</v>
      </c>
    </row>
    <row r="326" spans="1:5" outlineLevel="2">
      <c r="A326" s="658">
        <v>44498</v>
      </c>
      <c r="B326" s="661">
        <v>12.59</v>
      </c>
      <c r="C326" s="661">
        <v>9625.02</v>
      </c>
      <c r="D326" s="664">
        <f t="shared" si="6"/>
        <v>1.2789942533636073E-2</v>
      </c>
      <c r="E326" s="668">
        <f t="shared" si="7"/>
        <v>2.0582162984141747E-3</v>
      </c>
    </row>
    <row r="327" spans="1:5" outlineLevel="2">
      <c r="A327" s="658">
        <v>44501</v>
      </c>
      <c r="B327" s="661">
        <v>12.18</v>
      </c>
      <c r="C327" s="661">
        <v>9642.4500000000007</v>
      </c>
      <c r="D327" s="664">
        <f t="shared" si="6"/>
        <v>-3.3107585774504879E-2</v>
      </c>
      <c r="E327" s="668">
        <f t="shared" si="7"/>
        <v>1.8092676157984895E-3</v>
      </c>
    </row>
    <row r="328" spans="1:5" outlineLevel="2">
      <c r="A328" s="658">
        <v>44502</v>
      </c>
      <c r="B328" s="661">
        <v>12</v>
      </c>
      <c r="C328" s="661">
        <v>9677.9500000000007</v>
      </c>
      <c r="D328" s="664">
        <f t="shared" si="6"/>
        <v>-1.4888612493750637E-2</v>
      </c>
      <c r="E328" s="668">
        <f t="shared" si="7"/>
        <v>3.6748762915304566E-3</v>
      </c>
    </row>
    <row r="329" spans="1:5" outlineLevel="2">
      <c r="A329" s="658">
        <v>44503</v>
      </c>
      <c r="B329" s="661">
        <v>11.68</v>
      </c>
      <c r="C329" s="661">
        <v>9740.4699999999993</v>
      </c>
      <c r="D329" s="664">
        <f t="shared" si="6"/>
        <v>-2.7028672387919374E-2</v>
      </c>
      <c r="E329" s="668">
        <f t="shared" si="7"/>
        <v>6.439269109254209E-3</v>
      </c>
    </row>
    <row r="330" spans="1:5" outlineLevel="2">
      <c r="A330" s="658">
        <v>44504</v>
      </c>
      <c r="B330" s="661">
        <v>11.83</v>
      </c>
      <c r="C330" s="661">
        <v>9782.48</v>
      </c>
      <c r="D330" s="664">
        <f t="shared" si="6"/>
        <v>1.2760700590214488E-2</v>
      </c>
      <c r="E330" s="668">
        <f t="shared" si="7"/>
        <v>4.3036595228297045E-3</v>
      </c>
    </row>
    <row r="331" spans="1:5" outlineLevel="2">
      <c r="A331" s="658">
        <v>44505</v>
      </c>
      <c r="B331" s="661">
        <v>11.93</v>
      </c>
      <c r="C331" s="661">
        <v>9819.98</v>
      </c>
      <c r="D331" s="664">
        <f t="shared" si="6"/>
        <v>8.4175581195292219E-3</v>
      </c>
      <c r="E331" s="668">
        <f t="shared" si="7"/>
        <v>3.8260550712429257E-3</v>
      </c>
    </row>
    <row r="332" spans="1:5" outlineLevel="2">
      <c r="A332" s="658">
        <v>44508</v>
      </c>
      <c r="B332" s="661">
        <v>12.26</v>
      </c>
      <c r="C332" s="661">
        <v>9828.81</v>
      </c>
      <c r="D332" s="664">
        <f t="shared" si="6"/>
        <v>2.7285694398240606E-2</v>
      </c>
      <c r="E332" s="668">
        <f t="shared" si="7"/>
        <v>8.9878314078523699E-4</v>
      </c>
    </row>
    <row r="333" spans="1:5" outlineLevel="2">
      <c r="A333" s="658">
        <v>44509</v>
      </c>
      <c r="B333" s="661">
        <v>15.6</v>
      </c>
      <c r="C333" s="661">
        <v>9795.1200000000008</v>
      </c>
      <c r="D333" s="664">
        <f t="shared" si="6"/>
        <v>0.24092898374742611</v>
      </c>
      <c r="E333" s="668">
        <f t="shared" si="7"/>
        <v>-3.4335663752032468E-3</v>
      </c>
    </row>
    <row r="334" spans="1:5" outlineLevel="2">
      <c r="A334" s="658">
        <v>44510</v>
      </c>
      <c r="B334" s="661">
        <v>15.16</v>
      </c>
      <c r="C334" s="661">
        <v>9716.7199999999993</v>
      </c>
      <c r="D334" s="664">
        <f t="shared" si="6"/>
        <v>-2.8610534041265775E-2</v>
      </c>
      <c r="E334" s="668">
        <f t="shared" si="7"/>
        <v>-8.0361895059048206E-3</v>
      </c>
    </row>
    <row r="335" spans="1:5" outlineLevel="2">
      <c r="A335" s="658">
        <v>44511</v>
      </c>
      <c r="B335" s="661">
        <v>17.059999000000001</v>
      </c>
      <c r="C335" s="661">
        <v>9722.08</v>
      </c>
      <c r="D335" s="664">
        <f t="shared" si="6"/>
        <v>0.11807610323265876</v>
      </c>
      <c r="E335" s="668">
        <f t="shared" si="7"/>
        <v>5.5147438482240033E-4</v>
      </c>
    </row>
    <row r="336" spans="1:5" outlineLevel="2">
      <c r="A336" s="658">
        <v>44512</v>
      </c>
      <c r="B336" s="661">
        <v>16.370000999999998</v>
      </c>
      <c r="C336" s="661">
        <v>9793.2199999999993</v>
      </c>
      <c r="D336" s="664">
        <f t="shared" si="6"/>
        <v>-4.1286030976487746E-2</v>
      </c>
      <c r="E336" s="668">
        <f t="shared" si="7"/>
        <v>7.290722163439344E-3</v>
      </c>
    </row>
    <row r="337" spans="1:5" outlineLevel="2">
      <c r="A337" s="658">
        <v>44515</v>
      </c>
      <c r="B337" s="661">
        <v>14.93</v>
      </c>
      <c r="C337" s="661">
        <v>9793.5300000000007</v>
      </c>
      <c r="D337" s="664">
        <f t="shared" si="6"/>
        <v>-9.2077840919297438E-2</v>
      </c>
      <c r="E337" s="668">
        <f t="shared" si="7"/>
        <v>3.165405184903296E-5</v>
      </c>
    </row>
    <row r="338" spans="1:5" outlineLevel="2">
      <c r="A338" s="658">
        <v>44516</v>
      </c>
      <c r="B338" s="661">
        <v>15.08</v>
      </c>
      <c r="C338" s="661">
        <v>9831.91</v>
      </c>
      <c r="D338" s="664">
        <f t="shared" si="6"/>
        <v>9.996751028711108E-3</v>
      </c>
      <c r="E338" s="668">
        <f t="shared" si="7"/>
        <v>3.911254874063165E-3</v>
      </c>
    </row>
    <row r="339" spans="1:5" outlineLevel="2">
      <c r="A339" s="658">
        <v>44517</v>
      </c>
      <c r="B339" s="661">
        <v>13.64</v>
      </c>
      <c r="C339" s="661">
        <v>9808.27</v>
      </c>
      <c r="D339" s="664">
        <f t="shared" si="6"/>
        <v>-0.10036271016449393</v>
      </c>
      <c r="E339" s="668">
        <f t="shared" si="7"/>
        <v>-2.4073110751976112E-3</v>
      </c>
    </row>
    <row r="340" spans="1:5" outlineLevel="2">
      <c r="A340" s="658">
        <v>44518</v>
      </c>
      <c r="B340" s="661">
        <v>13.7</v>
      </c>
      <c r="C340" s="661">
        <v>9842.35</v>
      </c>
      <c r="D340" s="664">
        <f t="shared" si="6"/>
        <v>4.3891804187631868E-3</v>
      </c>
      <c r="E340" s="668">
        <f t="shared" si="7"/>
        <v>3.4685963260689084E-3</v>
      </c>
    </row>
    <row r="341" spans="1:5" outlineLevel="2">
      <c r="A341" s="658">
        <v>44519</v>
      </c>
      <c r="B341" s="661">
        <v>14</v>
      </c>
      <c r="C341" s="661">
        <v>9828.7999999999993</v>
      </c>
      <c r="D341" s="664">
        <f t="shared" si="6"/>
        <v>2.1661496781179467E-2</v>
      </c>
      <c r="E341" s="668">
        <f t="shared" si="7"/>
        <v>-1.3776522616192211E-3</v>
      </c>
    </row>
    <row r="342" spans="1:5" outlineLevel="2">
      <c r="A342" s="658">
        <v>44522</v>
      </c>
      <c r="B342" s="661">
        <v>14.04</v>
      </c>
      <c r="C342" s="661">
        <v>9798.2900000000009</v>
      </c>
      <c r="D342" s="664">
        <f t="shared" si="6"/>
        <v>2.8530689824064807E-3</v>
      </c>
      <c r="E342" s="668">
        <f t="shared" si="7"/>
        <v>-3.1089707720334432E-3</v>
      </c>
    </row>
    <row r="343" spans="1:5" outlineLevel="2">
      <c r="A343" s="658">
        <v>44523</v>
      </c>
      <c r="B343" s="661">
        <v>13.74</v>
      </c>
      <c r="C343" s="661">
        <v>9814.65</v>
      </c>
      <c r="D343" s="664">
        <f t="shared" si="6"/>
        <v>-2.1599111803461701E-2</v>
      </c>
      <c r="E343" s="668">
        <f t="shared" si="7"/>
        <v>1.6682867325755997E-3</v>
      </c>
    </row>
    <row r="344" spans="1:5" outlineLevel="2">
      <c r="A344" s="658">
        <v>44524</v>
      </c>
      <c r="B344" s="661">
        <v>13.43</v>
      </c>
      <c r="C344" s="661">
        <v>9837.6</v>
      </c>
      <c r="D344" s="664">
        <f t="shared" si="6"/>
        <v>-2.2820276259057148E-2</v>
      </c>
      <c r="E344" s="668">
        <f t="shared" si="7"/>
        <v>2.3356114880323671E-3</v>
      </c>
    </row>
    <row r="345" spans="1:5" outlineLevel="2">
      <c r="A345" s="658">
        <v>44526</v>
      </c>
      <c r="B345" s="661">
        <v>13.25</v>
      </c>
      <c r="C345" s="661">
        <v>9614.25</v>
      </c>
      <c r="D345" s="664">
        <f t="shared" si="6"/>
        <v>-1.3493458102914965E-2</v>
      </c>
      <c r="E345" s="668">
        <f t="shared" si="7"/>
        <v>-2.2965405997883798E-2</v>
      </c>
    </row>
    <row r="346" spans="1:5" outlineLevel="2">
      <c r="A346" s="658">
        <v>44529</v>
      </c>
      <c r="B346" s="661">
        <v>13.5</v>
      </c>
      <c r="C346" s="661">
        <v>9741.7800000000007</v>
      </c>
      <c r="D346" s="664">
        <f t="shared" si="6"/>
        <v>1.8692133012152546E-2</v>
      </c>
      <c r="E346" s="668">
        <f t="shared" si="7"/>
        <v>1.3177479619239717E-2</v>
      </c>
    </row>
    <row r="347" spans="1:5" outlineLevel="2">
      <c r="A347" s="658">
        <v>44530</v>
      </c>
      <c r="B347" s="661">
        <v>12.72</v>
      </c>
      <c r="C347" s="661">
        <v>9558.33</v>
      </c>
      <c r="D347" s="664">
        <f t="shared" si="6"/>
        <v>-5.9514127532407604E-2</v>
      </c>
      <c r="E347" s="668">
        <f t="shared" si="7"/>
        <v>-1.9010826886025102E-2</v>
      </c>
    </row>
    <row r="348" spans="1:5" outlineLevel="2">
      <c r="A348" s="658">
        <v>44531</v>
      </c>
      <c r="B348" s="661">
        <v>11.01</v>
      </c>
      <c r="C348" s="661">
        <v>9446.2099999999991</v>
      </c>
      <c r="D348" s="664">
        <f t="shared" si="6"/>
        <v>-0.14437160717738762</v>
      </c>
      <c r="E348" s="668">
        <f t="shared" si="7"/>
        <v>-1.1799422752188047E-2</v>
      </c>
    </row>
    <row r="349" spans="1:5" outlineLevel="2">
      <c r="A349" s="658">
        <v>44532</v>
      </c>
      <c r="B349" s="661">
        <v>8.75</v>
      </c>
      <c r="C349" s="661">
        <v>9581.7900000000009</v>
      </c>
      <c r="D349" s="664">
        <f t="shared" si="6"/>
        <v>-0.22975025036506558</v>
      </c>
      <c r="E349" s="668">
        <f t="shared" si="7"/>
        <v>1.4250819268852404E-2</v>
      </c>
    </row>
    <row r="350" spans="1:5" outlineLevel="2">
      <c r="A350" s="658">
        <v>44533</v>
      </c>
      <c r="B350" s="661">
        <v>8.99</v>
      </c>
      <c r="C350" s="661">
        <v>9501.2800000000007</v>
      </c>
      <c r="D350" s="664">
        <f t="shared" si="6"/>
        <v>2.7059148114005775E-2</v>
      </c>
      <c r="E350" s="668">
        <f t="shared" si="7"/>
        <v>-8.4378957556882576E-3</v>
      </c>
    </row>
    <row r="351" spans="1:5" outlineLevel="2">
      <c r="A351" s="658">
        <v>44536</v>
      </c>
      <c r="B351" s="661">
        <v>9</v>
      </c>
      <c r="C351" s="661">
        <v>9613.02</v>
      </c>
      <c r="D351" s="664">
        <f t="shared" si="6"/>
        <v>1.1117288526904154E-3</v>
      </c>
      <c r="E351" s="668">
        <f t="shared" si="7"/>
        <v>1.1691903225075444E-2</v>
      </c>
    </row>
    <row r="352" spans="1:5" outlineLevel="2">
      <c r="A352" s="658">
        <v>44537</v>
      </c>
      <c r="B352" s="661">
        <v>8.85</v>
      </c>
      <c r="C352" s="661">
        <v>9812.2000000000007</v>
      </c>
      <c r="D352" s="664">
        <f t="shared" si="6"/>
        <v>-1.6807118316381289E-2</v>
      </c>
      <c r="E352" s="668">
        <f t="shared" si="7"/>
        <v>2.0508079795265144E-2</v>
      </c>
    </row>
    <row r="353" spans="1:5" outlineLevel="2">
      <c r="A353" s="658">
        <v>44538</v>
      </c>
      <c r="B353" s="661">
        <v>8.89</v>
      </c>
      <c r="C353" s="661">
        <v>9842.68</v>
      </c>
      <c r="D353" s="664">
        <f t="shared" ref="D353:D416" si="8">LN(B353/B352)</f>
        <v>4.5095905059750639E-3</v>
      </c>
      <c r="E353" s="668">
        <f t="shared" ref="E353:E416" si="9">LN(C353/C352)</f>
        <v>3.1015223123596614E-3</v>
      </c>
    </row>
    <row r="354" spans="1:5" outlineLevel="2">
      <c r="A354" s="658">
        <v>44539</v>
      </c>
      <c r="B354" s="661">
        <v>8.08</v>
      </c>
      <c r="C354" s="661">
        <v>9773.19</v>
      </c>
      <c r="D354" s="664">
        <f t="shared" si="8"/>
        <v>-9.5535176992809251E-2</v>
      </c>
      <c r="E354" s="668">
        <f t="shared" si="9"/>
        <v>-7.0851092194719988E-3</v>
      </c>
    </row>
    <row r="355" spans="1:5" outlineLevel="2">
      <c r="A355" s="658">
        <v>44540</v>
      </c>
      <c r="B355" s="661">
        <v>7.12</v>
      </c>
      <c r="C355" s="661">
        <v>9866.6200000000008</v>
      </c>
      <c r="D355" s="664">
        <f t="shared" si="8"/>
        <v>-0.12648414710911959</v>
      </c>
      <c r="E355" s="668">
        <f t="shared" si="9"/>
        <v>9.5144204353547288E-3</v>
      </c>
    </row>
    <row r="356" spans="1:5" outlineLevel="2">
      <c r="A356" s="658">
        <v>44543</v>
      </c>
      <c r="B356" s="661">
        <v>7.17</v>
      </c>
      <c r="C356" s="661">
        <v>9776.69</v>
      </c>
      <c r="D356" s="664">
        <f t="shared" si="8"/>
        <v>6.9979291876446368E-3</v>
      </c>
      <c r="E356" s="668">
        <f t="shared" si="9"/>
        <v>-9.1563619677432762E-3</v>
      </c>
    </row>
    <row r="357" spans="1:5" outlineLevel="2">
      <c r="A357" s="658">
        <v>44544</v>
      </c>
      <c r="B357" s="661">
        <v>6.79</v>
      </c>
      <c r="C357" s="661">
        <v>9705.06</v>
      </c>
      <c r="D357" s="664">
        <f t="shared" si="8"/>
        <v>-5.4454713040924259E-2</v>
      </c>
      <c r="E357" s="668">
        <f t="shared" si="9"/>
        <v>-7.3535819711677648E-3</v>
      </c>
    </row>
    <row r="358" spans="1:5" outlineLevel="2">
      <c r="A358" s="658">
        <v>44545</v>
      </c>
      <c r="B358" s="661">
        <v>7.14</v>
      </c>
      <c r="C358" s="661">
        <v>9863.92</v>
      </c>
      <c r="D358" s="664">
        <f t="shared" si="8"/>
        <v>5.0261834780888297E-2</v>
      </c>
      <c r="E358" s="668">
        <f t="shared" si="9"/>
        <v>1.6236256546994371E-2</v>
      </c>
    </row>
    <row r="359" spans="1:5" outlineLevel="2">
      <c r="A359" s="658">
        <v>44546</v>
      </c>
      <c r="B359" s="661">
        <v>7.25</v>
      </c>
      <c r="C359" s="661">
        <v>9778.09</v>
      </c>
      <c r="D359" s="664">
        <f t="shared" si="8"/>
        <v>1.5288692515090336E-2</v>
      </c>
      <c r="E359" s="668">
        <f t="shared" si="9"/>
        <v>-8.7394870787141053E-3</v>
      </c>
    </row>
    <row r="360" spans="1:5" outlineLevel="2">
      <c r="A360" s="658">
        <v>44547</v>
      </c>
      <c r="B360" s="661">
        <v>7.57</v>
      </c>
      <c r="C360" s="661">
        <v>9678.0400000000009</v>
      </c>
      <c r="D360" s="664">
        <f t="shared" si="8"/>
        <v>4.3191598582773959E-2</v>
      </c>
      <c r="E360" s="668">
        <f t="shared" si="9"/>
        <v>-1.0284767002425383E-2</v>
      </c>
    </row>
    <row r="361" spans="1:5" outlineLevel="2">
      <c r="A361" s="658">
        <v>44550</v>
      </c>
      <c r="B361" s="661">
        <v>7.3</v>
      </c>
      <c r="C361" s="661">
        <v>9567.91</v>
      </c>
      <c r="D361" s="664">
        <f t="shared" si="8"/>
        <v>-3.6318719295011993E-2</v>
      </c>
      <c r="E361" s="668">
        <f t="shared" si="9"/>
        <v>-1.1444610638413158E-2</v>
      </c>
    </row>
    <row r="362" spans="1:5" outlineLevel="2">
      <c r="A362" s="658">
        <v>44551</v>
      </c>
      <c r="B362" s="661">
        <v>7.3</v>
      </c>
      <c r="C362" s="661">
        <v>9738.73</v>
      </c>
      <c r="D362" s="664">
        <f t="shared" si="8"/>
        <v>0</v>
      </c>
      <c r="E362" s="668">
        <f t="shared" si="9"/>
        <v>1.769592819965192E-2</v>
      </c>
    </row>
    <row r="363" spans="1:5" outlineLevel="2">
      <c r="A363" s="658">
        <v>44552</v>
      </c>
      <c r="B363" s="661">
        <v>7.34</v>
      </c>
      <c r="C363" s="661">
        <v>9838.9</v>
      </c>
      <c r="D363" s="664">
        <f t="shared" si="8"/>
        <v>5.4644944720787453E-3</v>
      </c>
      <c r="E363" s="668">
        <f t="shared" si="9"/>
        <v>1.0233197188289873E-2</v>
      </c>
    </row>
    <row r="364" spans="1:5" outlineLevel="2">
      <c r="A364" s="658">
        <v>44553</v>
      </c>
      <c r="B364" s="661">
        <v>7.35</v>
      </c>
      <c r="C364" s="661">
        <v>9900.2999999999993</v>
      </c>
      <c r="D364" s="664">
        <f t="shared" si="8"/>
        <v>1.3614705983211706E-3</v>
      </c>
      <c r="E364" s="668">
        <f t="shared" si="9"/>
        <v>6.2211435142570052E-3</v>
      </c>
    </row>
    <row r="365" spans="1:5" outlineLevel="2">
      <c r="A365" s="658">
        <v>44557</v>
      </c>
      <c r="B365" s="661">
        <v>7.09</v>
      </c>
      <c r="C365" s="661">
        <v>10037.67</v>
      </c>
      <c r="D365" s="664">
        <f t="shared" si="8"/>
        <v>-3.6014972680709197E-2</v>
      </c>
      <c r="E365" s="668">
        <f t="shared" si="9"/>
        <v>1.377995590590912E-2</v>
      </c>
    </row>
    <row r="366" spans="1:5" outlineLevel="2">
      <c r="A366" s="658">
        <v>44558</v>
      </c>
      <c r="B366" s="661">
        <v>6.98</v>
      </c>
      <c r="C366" s="661">
        <v>10027.530000000001</v>
      </c>
      <c r="D366" s="664">
        <f t="shared" si="8"/>
        <v>-1.5636423769754888E-2</v>
      </c>
      <c r="E366" s="668">
        <f t="shared" si="9"/>
        <v>-1.0107051874078054E-3</v>
      </c>
    </row>
    <row r="367" spans="1:5" outlineLevel="2">
      <c r="A367" s="658">
        <v>44559</v>
      </c>
      <c r="B367" s="661">
        <v>6.96</v>
      </c>
      <c r="C367" s="661">
        <v>10041.61</v>
      </c>
      <c r="D367" s="664">
        <f t="shared" si="8"/>
        <v>-2.8694424279529316E-3</v>
      </c>
      <c r="E367" s="668">
        <f t="shared" si="9"/>
        <v>1.4031495430389433E-3</v>
      </c>
    </row>
    <row r="368" spans="1:5" outlineLevel="2">
      <c r="A368" s="658">
        <v>44560</v>
      </c>
      <c r="B368" s="661">
        <v>7.15</v>
      </c>
      <c r="C368" s="661">
        <v>10012.51</v>
      </c>
      <c r="D368" s="664">
        <f t="shared" si="8"/>
        <v>2.6932882359588069E-2</v>
      </c>
      <c r="E368" s="668">
        <f t="shared" si="9"/>
        <v>-2.9021488277204193E-3</v>
      </c>
    </row>
    <row r="369" spans="1:5" outlineLevel="2">
      <c r="A369" s="658">
        <v>44561</v>
      </c>
      <c r="B369" s="661">
        <v>7.13</v>
      </c>
      <c r="C369" s="661">
        <v>9986.7000000000007</v>
      </c>
      <c r="D369" s="664">
        <f t="shared" si="8"/>
        <v>-2.801122279711779E-3</v>
      </c>
      <c r="E369" s="668">
        <f t="shared" si="9"/>
        <v>-2.5811033864890365E-3</v>
      </c>
    </row>
    <row r="370" spans="1:5" outlineLevel="2">
      <c r="A370" s="658">
        <v>44564</v>
      </c>
      <c r="B370" s="661">
        <v>7.22</v>
      </c>
      <c r="C370" s="661">
        <v>10050.41</v>
      </c>
      <c r="D370" s="664">
        <f t="shared" si="8"/>
        <v>1.254371847853032E-2</v>
      </c>
      <c r="E370" s="668">
        <f t="shared" si="9"/>
        <v>6.3592219337998048E-3</v>
      </c>
    </row>
    <row r="371" spans="1:5" outlineLevel="2">
      <c r="A371" s="658">
        <v>44565</v>
      </c>
      <c r="B371" s="661">
        <v>7.29</v>
      </c>
      <c r="C371" s="661">
        <v>10044.75</v>
      </c>
      <c r="D371" s="664">
        <f t="shared" si="8"/>
        <v>9.6485931158319365E-3</v>
      </c>
      <c r="E371" s="668">
        <f t="shared" si="9"/>
        <v>-5.6331973964608565E-4</v>
      </c>
    </row>
    <row r="372" spans="1:5" outlineLevel="2">
      <c r="A372" s="658">
        <v>44566</v>
      </c>
      <c r="B372" s="661">
        <v>6.9</v>
      </c>
      <c r="C372" s="661">
        <v>9850.7000000000007</v>
      </c>
      <c r="D372" s="664">
        <f t="shared" si="8"/>
        <v>-5.4982134417353057E-2</v>
      </c>
      <c r="E372" s="668">
        <f t="shared" si="9"/>
        <v>-1.9507591304426718E-2</v>
      </c>
    </row>
    <row r="373" spans="1:5" outlineLevel="2">
      <c r="A373" s="658">
        <v>44567</v>
      </c>
      <c r="B373" s="661">
        <v>6.65</v>
      </c>
      <c r="C373" s="661">
        <v>9841.92</v>
      </c>
      <c r="D373" s="664">
        <f t="shared" si="8"/>
        <v>-3.6904556935450979E-2</v>
      </c>
      <c r="E373" s="668">
        <f t="shared" si="9"/>
        <v>-8.9170466720796715E-4</v>
      </c>
    </row>
    <row r="374" spans="1:5" outlineLevel="2">
      <c r="A374" s="658">
        <v>44568</v>
      </c>
      <c r="B374" s="661">
        <v>6.81</v>
      </c>
      <c r="C374" s="661">
        <v>9803.84</v>
      </c>
      <c r="D374" s="664">
        <f t="shared" si="8"/>
        <v>2.3775265493658052E-2</v>
      </c>
      <c r="E374" s="668">
        <f t="shared" si="9"/>
        <v>-3.8766683183149462E-3</v>
      </c>
    </row>
    <row r="375" spans="1:5" outlineLevel="2">
      <c r="A375" s="658">
        <v>44571</v>
      </c>
      <c r="B375" s="661">
        <v>6.6</v>
      </c>
      <c r="C375" s="661">
        <v>9789.7199999999993</v>
      </c>
      <c r="D375" s="664">
        <f t="shared" si="8"/>
        <v>-3.1322471129041157E-2</v>
      </c>
      <c r="E375" s="668">
        <f t="shared" si="9"/>
        <v>-1.441290142711215E-3</v>
      </c>
    </row>
    <row r="376" spans="1:5" outlineLevel="2">
      <c r="A376" s="658">
        <v>44572</v>
      </c>
      <c r="B376" s="661">
        <v>6.54</v>
      </c>
      <c r="C376" s="661">
        <v>9879.39</v>
      </c>
      <c r="D376" s="664">
        <f t="shared" si="8"/>
        <v>-9.1324835632724741E-3</v>
      </c>
      <c r="E376" s="668">
        <f t="shared" si="9"/>
        <v>9.117913442497589E-3</v>
      </c>
    </row>
    <row r="377" spans="1:5" outlineLevel="2">
      <c r="A377" s="658">
        <v>44573</v>
      </c>
      <c r="B377" s="661">
        <v>6.25</v>
      </c>
      <c r="C377" s="661">
        <v>9907.3799999999992</v>
      </c>
      <c r="D377" s="664">
        <f t="shared" si="8"/>
        <v>-4.5355701720797198E-2</v>
      </c>
      <c r="E377" s="668">
        <f t="shared" si="9"/>
        <v>2.8291650097246549E-3</v>
      </c>
    </row>
    <row r="378" spans="1:5" outlineLevel="2">
      <c r="A378" s="658">
        <v>44574</v>
      </c>
      <c r="B378" s="661">
        <v>6.11</v>
      </c>
      <c r="C378" s="661">
        <v>9767.35</v>
      </c>
      <c r="D378" s="664">
        <f t="shared" si="8"/>
        <v>-2.2654690564806151E-2</v>
      </c>
      <c r="E378" s="668">
        <f t="shared" si="9"/>
        <v>-1.4234743195043786E-2</v>
      </c>
    </row>
    <row r="379" spans="1:5" outlineLevel="2">
      <c r="A379" s="658">
        <v>44575</v>
      </c>
      <c r="B379" s="661">
        <v>6.04</v>
      </c>
      <c r="C379" s="661">
        <v>9775.5300000000007</v>
      </c>
      <c r="D379" s="664">
        <f t="shared" si="8"/>
        <v>-1.1522761236780374E-2</v>
      </c>
      <c r="E379" s="668">
        <f t="shared" si="9"/>
        <v>8.3713357270847125E-4</v>
      </c>
    </row>
    <row r="380" spans="1:5" outlineLevel="2">
      <c r="A380" s="658">
        <v>44579</v>
      </c>
      <c r="B380" s="661">
        <v>5.54</v>
      </c>
      <c r="C380" s="661">
        <v>9595.93</v>
      </c>
      <c r="D380" s="664">
        <f t="shared" si="8"/>
        <v>-8.640951118753111E-2</v>
      </c>
      <c r="E380" s="668">
        <f t="shared" si="9"/>
        <v>-1.8543274105716174E-2</v>
      </c>
    </row>
    <row r="381" spans="1:5" outlineLevel="2">
      <c r="A381" s="658">
        <v>44580</v>
      </c>
      <c r="B381" s="661">
        <v>5.65</v>
      </c>
      <c r="C381" s="661">
        <v>9503.14</v>
      </c>
      <c r="D381" s="664">
        <f t="shared" si="8"/>
        <v>1.9661044399157192E-2</v>
      </c>
      <c r="E381" s="668">
        <f t="shared" si="9"/>
        <v>-9.7167799342188325E-3</v>
      </c>
    </row>
    <row r="382" spans="1:5" outlineLevel="2">
      <c r="A382" s="658">
        <v>44581</v>
      </c>
      <c r="B382" s="661">
        <v>5.94</v>
      </c>
      <c r="C382" s="661">
        <v>9398.9599999999991</v>
      </c>
      <c r="D382" s="664">
        <f t="shared" si="8"/>
        <v>5.0053588216203891E-2</v>
      </c>
      <c r="E382" s="668">
        <f t="shared" si="9"/>
        <v>-1.1023225453277394E-2</v>
      </c>
    </row>
    <row r="383" spans="1:5" outlineLevel="2">
      <c r="A383" s="658">
        <v>44582</v>
      </c>
      <c r="B383" s="661">
        <v>5.6</v>
      </c>
      <c r="C383" s="661">
        <v>9221.2800000000007</v>
      </c>
      <c r="D383" s="664">
        <f t="shared" si="8"/>
        <v>-5.8942535633450088E-2</v>
      </c>
      <c r="E383" s="668">
        <f t="shared" si="9"/>
        <v>-1.9085188291112588E-2</v>
      </c>
    </row>
    <row r="384" spans="1:5" outlineLevel="2">
      <c r="A384" s="658">
        <v>44585</v>
      </c>
      <c r="B384" s="661">
        <v>5.56</v>
      </c>
      <c r="C384" s="661">
        <v>9246.84</v>
      </c>
      <c r="D384" s="664">
        <f t="shared" si="8"/>
        <v>-7.168489478612516E-3</v>
      </c>
      <c r="E384" s="668">
        <f t="shared" si="9"/>
        <v>2.7680149706476791E-3</v>
      </c>
    </row>
    <row r="385" spans="1:5" outlineLevel="2">
      <c r="A385" s="658">
        <v>44586</v>
      </c>
      <c r="B385" s="661">
        <v>5.82</v>
      </c>
      <c r="C385" s="661">
        <v>9134.33</v>
      </c>
      <c r="D385" s="664">
        <f t="shared" si="8"/>
        <v>4.5702153480855594E-2</v>
      </c>
      <c r="E385" s="668">
        <f t="shared" si="9"/>
        <v>-1.224202867684695E-2</v>
      </c>
    </row>
    <row r="386" spans="1:5" outlineLevel="2">
      <c r="A386" s="658">
        <v>44587</v>
      </c>
      <c r="B386" s="661">
        <v>5.94</v>
      </c>
      <c r="C386" s="661">
        <v>9120.75</v>
      </c>
      <c r="D386" s="664">
        <f t="shared" si="8"/>
        <v>2.0408871631207033E-2</v>
      </c>
      <c r="E386" s="668">
        <f t="shared" si="9"/>
        <v>-1.4878053128244079E-3</v>
      </c>
    </row>
    <row r="387" spans="1:5" outlineLevel="2">
      <c r="A387" s="658">
        <v>44588</v>
      </c>
      <c r="B387" s="661">
        <v>5.71</v>
      </c>
      <c r="C387" s="661">
        <v>9072.24</v>
      </c>
      <c r="D387" s="664">
        <f t="shared" si="8"/>
        <v>-3.9490109706634816E-2</v>
      </c>
      <c r="E387" s="668">
        <f t="shared" si="9"/>
        <v>-5.3328358851583539E-3</v>
      </c>
    </row>
    <row r="388" spans="1:5" outlineLevel="2">
      <c r="A388" s="658">
        <v>44589</v>
      </c>
      <c r="B388" s="661">
        <v>5.51</v>
      </c>
      <c r="C388" s="661">
        <v>9294.2099999999991</v>
      </c>
      <c r="D388" s="664">
        <f t="shared" si="8"/>
        <v>-3.5654400503095755E-2</v>
      </c>
      <c r="E388" s="668">
        <f t="shared" si="9"/>
        <v>2.4172423968319378E-2</v>
      </c>
    </row>
    <row r="389" spans="1:5" outlineLevel="2">
      <c r="A389" s="658">
        <v>44592</v>
      </c>
      <c r="B389" s="661">
        <v>5.66</v>
      </c>
      <c r="C389" s="661">
        <v>9469.92</v>
      </c>
      <c r="D389" s="664">
        <f t="shared" si="8"/>
        <v>2.6859269050268478E-2</v>
      </c>
      <c r="E389" s="668">
        <f t="shared" si="9"/>
        <v>1.8728833802389242E-2</v>
      </c>
    </row>
    <row r="390" spans="1:5" outlineLevel="2">
      <c r="A390" s="658">
        <v>44593</v>
      </c>
      <c r="B390" s="661">
        <v>5.7</v>
      </c>
      <c r="C390" s="661">
        <v>9534.9599999999991</v>
      </c>
      <c r="D390" s="664">
        <f t="shared" si="8"/>
        <v>7.042282625412951E-3</v>
      </c>
      <c r="E390" s="668">
        <f t="shared" si="9"/>
        <v>6.8445845401591023E-3</v>
      </c>
    </row>
    <row r="391" spans="1:5" outlineLevel="2">
      <c r="A391" s="658">
        <v>44594</v>
      </c>
      <c r="B391" s="661">
        <v>5.48</v>
      </c>
      <c r="C391" s="661">
        <v>9624.89</v>
      </c>
      <c r="D391" s="664">
        <f t="shared" si="8"/>
        <v>-3.9361073880580313E-2</v>
      </c>
      <c r="E391" s="668">
        <f t="shared" si="9"/>
        <v>9.3874075643215569E-3</v>
      </c>
    </row>
    <row r="392" spans="1:5" outlineLevel="2">
      <c r="A392" s="658">
        <v>44595</v>
      </c>
      <c r="B392" s="661">
        <v>4.9800000000000004</v>
      </c>
      <c r="C392" s="661">
        <v>9390.58</v>
      </c>
      <c r="D392" s="664">
        <f t="shared" si="8"/>
        <v>-9.567520992336255E-2</v>
      </c>
      <c r="E392" s="668">
        <f t="shared" si="9"/>
        <v>-2.4645392386369813E-2</v>
      </c>
    </row>
    <row r="393" spans="1:5" outlineLevel="2">
      <c r="A393" s="658">
        <v>44596</v>
      </c>
      <c r="B393" s="661">
        <v>5.32</v>
      </c>
      <c r="C393" s="661">
        <v>9440.58</v>
      </c>
      <c r="D393" s="664">
        <f t="shared" si="8"/>
        <v>6.6043412316991429E-2</v>
      </c>
      <c r="E393" s="668">
        <f t="shared" si="9"/>
        <v>5.3103597972314343E-3</v>
      </c>
    </row>
    <row r="394" spans="1:5" outlineLevel="2">
      <c r="A394" s="658">
        <v>44599</v>
      </c>
      <c r="B394" s="661">
        <v>5.34</v>
      </c>
      <c r="C394" s="661">
        <v>9405.84</v>
      </c>
      <c r="D394" s="664">
        <f t="shared" si="8"/>
        <v>3.7523496185503718E-3</v>
      </c>
      <c r="E394" s="668">
        <f t="shared" si="9"/>
        <v>-3.6866459886783732E-3</v>
      </c>
    </row>
    <row r="395" spans="1:5" outlineLevel="2">
      <c r="A395" s="658">
        <v>44600</v>
      </c>
      <c r="B395" s="661">
        <v>5.21</v>
      </c>
      <c r="C395" s="661">
        <v>9484.9500000000007</v>
      </c>
      <c r="D395" s="664">
        <f t="shared" si="8"/>
        <v>-2.4645797206827868E-2</v>
      </c>
      <c r="E395" s="668">
        <f t="shared" si="9"/>
        <v>8.3755589325010746E-3</v>
      </c>
    </row>
    <row r="396" spans="1:5" outlineLevel="2">
      <c r="A396" s="658">
        <v>44601</v>
      </c>
      <c r="B396" s="661">
        <v>5.55</v>
      </c>
      <c r="C396" s="661">
        <v>9623.84</v>
      </c>
      <c r="D396" s="664">
        <f t="shared" si="8"/>
        <v>6.3218071993067629E-2</v>
      </c>
      <c r="E396" s="668">
        <f t="shared" si="9"/>
        <v>1.4537021538475177E-2</v>
      </c>
    </row>
    <row r="397" spans="1:5" outlineLevel="2">
      <c r="A397" s="658">
        <v>44602</v>
      </c>
      <c r="B397" s="661">
        <v>6.35</v>
      </c>
      <c r="C397" s="661">
        <v>9450.7199999999993</v>
      </c>
      <c r="D397" s="664">
        <f t="shared" si="8"/>
        <v>0.1346568851462572</v>
      </c>
      <c r="E397" s="668">
        <f t="shared" si="9"/>
        <v>-1.8152424350777456E-2</v>
      </c>
    </row>
    <row r="398" spans="1:5" outlineLevel="2">
      <c r="A398" s="658">
        <v>44603</v>
      </c>
      <c r="B398" s="661">
        <v>5.89</v>
      </c>
      <c r="C398" s="661">
        <v>9271.7999999999993</v>
      </c>
      <c r="D398" s="664">
        <f t="shared" si="8"/>
        <v>-7.5198815241104972E-2</v>
      </c>
      <c r="E398" s="668">
        <f t="shared" si="9"/>
        <v>-1.9113393593927754E-2</v>
      </c>
    </row>
    <row r="399" spans="1:5" outlineLevel="2">
      <c r="A399" s="658">
        <v>44606</v>
      </c>
      <c r="B399" s="661">
        <v>5.92</v>
      </c>
      <c r="C399" s="661">
        <v>9236.86</v>
      </c>
      <c r="D399" s="664">
        <f t="shared" si="8"/>
        <v>5.0804512324189137E-3</v>
      </c>
      <c r="E399" s="668">
        <f t="shared" si="9"/>
        <v>-3.7755344260262517E-3</v>
      </c>
    </row>
    <row r="400" spans="1:5" outlineLevel="2">
      <c r="A400" s="658">
        <v>44607</v>
      </c>
      <c r="B400" s="661">
        <v>6</v>
      </c>
      <c r="C400" s="661">
        <v>9383.57</v>
      </c>
      <c r="D400" s="664">
        <f t="shared" si="8"/>
        <v>1.3423020332140771E-2</v>
      </c>
      <c r="E400" s="668">
        <f t="shared" si="9"/>
        <v>1.5758286564845816E-2</v>
      </c>
    </row>
    <row r="401" spans="1:5" outlineLevel="2">
      <c r="A401" s="658">
        <v>44608</v>
      </c>
      <c r="B401" s="661">
        <v>6.04</v>
      </c>
      <c r="C401" s="661">
        <v>9393.09</v>
      </c>
      <c r="D401" s="664">
        <f t="shared" si="8"/>
        <v>6.6445427186685108E-3</v>
      </c>
      <c r="E401" s="668">
        <f t="shared" si="9"/>
        <v>1.0140249454101775E-3</v>
      </c>
    </row>
    <row r="402" spans="1:5" outlineLevel="2">
      <c r="A402" s="658">
        <v>44609</v>
      </c>
      <c r="B402" s="661">
        <v>5.81</v>
      </c>
      <c r="C402" s="661">
        <v>9195.35</v>
      </c>
      <c r="D402" s="664">
        <f t="shared" si="8"/>
        <v>-3.8823441082903747E-2</v>
      </c>
      <c r="E402" s="668">
        <f t="shared" si="9"/>
        <v>-2.1276391072626966E-2</v>
      </c>
    </row>
    <row r="403" spans="1:5" outlineLevel="2">
      <c r="A403" s="658">
        <v>44610</v>
      </c>
      <c r="B403" s="661">
        <v>5.52</v>
      </c>
      <c r="C403" s="661">
        <v>9130.81</v>
      </c>
      <c r="D403" s="664">
        <f t="shared" si="8"/>
        <v>-5.1202710574815936E-2</v>
      </c>
      <c r="E403" s="668">
        <f t="shared" si="9"/>
        <v>-7.0435123151417417E-3</v>
      </c>
    </row>
    <row r="404" spans="1:5" outlineLevel="2">
      <c r="A404" s="658">
        <v>44614</v>
      </c>
      <c r="B404" s="661">
        <v>5.17</v>
      </c>
      <c r="C404" s="661">
        <v>9038.32</v>
      </c>
      <c r="D404" s="664">
        <f t="shared" si="8"/>
        <v>-6.5505171768666118E-2</v>
      </c>
      <c r="E404" s="668">
        <f t="shared" si="9"/>
        <v>-1.0181092756431578E-2</v>
      </c>
    </row>
    <row r="405" spans="1:5" outlineLevel="2">
      <c r="A405" s="658">
        <v>44615</v>
      </c>
      <c r="B405" s="661">
        <v>5.3</v>
      </c>
      <c r="C405" s="661">
        <v>8871.9500000000007</v>
      </c>
      <c r="D405" s="664">
        <f t="shared" si="8"/>
        <v>2.4834132037738394E-2</v>
      </c>
      <c r="E405" s="668">
        <f t="shared" si="9"/>
        <v>-1.8578702101255992E-2</v>
      </c>
    </row>
    <row r="406" spans="1:5" outlineLevel="2">
      <c r="A406" s="658">
        <v>44616</v>
      </c>
      <c r="B406" s="661">
        <v>5.5</v>
      </c>
      <c r="C406" s="661">
        <v>9005.3700000000008</v>
      </c>
      <c r="D406" s="664">
        <f t="shared" si="8"/>
        <v>3.7041271680349076E-2</v>
      </c>
      <c r="E406" s="668">
        <f t="shared" si="9"/>
        <v>1.4926451743765142E-2</v>
      </c>
    </row>
    <row r="407" spans="1:5" outlineLevel="2">
      <c r="A407" s="658">
        <v>44617</v>
      </c>
      <c r="B407" s="661">
        <v>5.8</v>
      </c>
      <c r="C407" s="661">
        <v>9207.85</v>
      </c>
      <c r="D407" s="664">
        <f t="shared" si="8"/>
        <v>5.3109825313948332E-2</v>
      </c>
      <c r="E407" s="668">
        <f t="shared" si="9"/>
        <v>2.2235315036339433E-2</v>
      </c>
    </row>
    <row r="408" spans="1:5" outlineLevel="2">
      <c r="A408" s="658">
        <v>44620</v>
      </c>
      <c r="B408" s="661">
        <v>5.76</v>
      </c>
      <c r="C408" s="661">
        <v>9186.3700000000008</v>
      </c>
      <c r="D408" s="664">
        <f t="shared" si="8"/>
        <v>-6.9204428445737952E-3</v>
      </c>
      <c r="E408" s="668">
        <f t="shared" si="9"/>
        <v>-2.3355173270523891E-3</v>
      </c>
    </row>
    <row r="409" spans="1:5" outlineLevel="2">
      <c r="A409" s="658">
        <v>44621</v>
      </c>
      <c r="B409" s="661">
        <v>5.52</v>
      </c>
      <c r="C409" s="661">
        <v>9044.4699999999993</v>
      </c>
      <c r="D409" s="664">
        <f t="shared" si="8"/>
        <v>-4.2559614418796007E-2</v>
      </c>
      <c r="E409" s="668">
        <f t="shared" si="9"/>
        <v>-1.5567342556283913E-2</v>
      </c>
    </row>
    <row r="410" spans="1:5" outlineLevel="2">
      <c r="A410" s="658">
        <v>44622</v>
      </c>
      <c r="B410" s="661">
        <v>5.23</v>
      </c>
      <c r="C410" s="661">
        <v>9213.39</v>
      </c>
      <c r="D410" s="664">
        <f t="shared" si="8"/>
        <v>-5.3966582212172307E-2</v>
      </c>
      <c r="E410" s="668">
        <f t="shared" si="9"/>
        <v>1.8504339497848455E-2</v>
      </c>
    </row>
    <row r="411" spans="1:5" outlineLevel="2">
      <c r="A411" s="658">
        <v>44623</v>
      </c>
      <c r="B411" s="661">
        <v>3.28</v>
      </c>
      <c r="C411" s="661">
        <v>9166.1299999999992</v>
      </c>
      <c r="D411" s="664">
        <f t="shared" si="8"/>
        <v>-0.46656785568077935</v>
      </c>
      <c r="E411" s="668">
        <f t="shared" si="9"/>
        <v>-5.1426918829390305E-3</v>
      </c>
    </row>
    <row r="412" spans="1:5" outlineLevel="2">
      <c r="A412" s="658">
        <v>44624</v>
      </c>
      <c r="B412" s="661">
        <v>3.36</v>
      </c>
      <c r="C412" s="661">
        <v>9094.0400000000009</v>
      </c>
      <c r="D412" s="664">
        <f t="shared" si="8"/>
        <v>2.4097551579060524E-2</v>
      </c>
      <c r="E412" s="668">
        <f t="shared" si="9"/>
        <v>-7.8959149383643588E-3</v>
      </c>
    </row>
    <row r="413" spans="1:5" outlineLevel="2">
      <c r="A413" s="658">
        <v>44627</v>
      </c>
      <c r="B413" s="661">
        <v>3.36</v>
      </c>
      <c r="C413" s="661">
        <v>8825.7199999999993</v>
      </c>
      <c r="D413" s="664">
        <f t="shared" si="8"/>
        <v>0</v>
      </c>
      <c r="E413" s="668">
        <f t="shared" si="9"/>
        <v>-2.9949068004016852E-2</v>
      </c>
    </row>
    <row r="414" spans="1:5" outlineLevel="2">
      <c r="A414" s="658">
        <v>44628</v>
      </c>
      <c r="B414" s="661">
        <v>3.24</v>
      </c>
      <c r="C414" s="661">
        <v>8762.11</v>
      </c>
      <c r="D414" s="664">
        <f t="shared" si="8"/>
        <v>-3.6367644170874715E-2</v>
      </c>
      <c r="E414" s="668">
        <f t="shared" si="9"/>
        <v>-7.2334423693665977E-3</v>
      </c>
    </row>
    <row r="415" spans="1:5" outlineLevel="2">
      <c r="A415" s="658">
        <v>44629</v>
      </c>
      <c r="B415" s="661">
        <v>3.14</v>
      </c>
      <c r="C415" s="661">
        <v>8988.65</v>
      </c>
      <c r="D415" s="664">
        <f t="shared" si="8"/>
        <v>-3.1350529884076044E-2</v>
      </c>
      <c r="E415" s="668">
        <f t="shared" si="9"/>
        <v>2.5525926831029805E-2</v>
      </c>
    </row>
    <row r="416" spans="1:5" outlineLevel="2">
      <c r="A416" s="658">
        <v>44630</v>
      </c>
      <c r="B416" s="661">
        <v>3.29</v>
      </c>
      <c r="C416" s="661">
        <v>8950.9</v>
      </c>
      <c r="D416" s="664">
        <f t="shared" si="8"/>
        <v>4.6664764857118408E-2</v>
      </c>
      <c r="E416" s="668">
        <f t="shared" si="9"/>
        <v>-4.2085844650015638E-3</v>
      </c>
    </row>
    <row r="417" spans="1:5" outlineLevel="2">
      <c r="A417" s="658">
        <v>44631</v>
      </c>
      <c r="B417" s="661">
        <v>3.14</v>
      </c>
      <c r="C417" s="661">
        <v>8835.4</v>
      </c>
      <c r="D417" s="664">
        <f t="shared" ref="D417:D480" si="10">LN(B417/B416)</f>
        <v>-4.6664764857118443E-2</v>
      </c>
      <c r="E417" s="668">
        <f t="shared" ref="E417:E480" si="11">LN(C417/C416)</f>
        <v>-1.2987706666983451E-2</v>
      </c>
    </row>
    <row r="418" spans="1:5" outlineLevel="2">
      <c r="A418" s="658">
        <v>44634</v>
      </c>
      <c r="B418" s="661">
        <v>3.02</v>
      </c>
      <c r="C418" s="661">
        <v>8771.75</v>
      </c>
      <c r="D418" s="664">
        <f t="shared" si="10"/>
        <v>-3.8965968533383723E-2</v>
      </c>
      <c r="E418" s="668">
        <f t="shared" si="11"/>
        <v>-7.2300488458016902E-3</v>
      </c>
    </row>
    <row r="419" spans="1:5" outlineLevel="2">
      <c r="A419" s="658">
        <v>44635</v>
      </c>
      <c r="B419" s="661">
        <v>3.03</v>
      </c>
      <c r="C419" s="661">
        <v>8959.74</v>
      </c>
      <c r="D419" s="664">
        <f t="shared" si="10"/>
        <v>3.3057881344994103E-3</v>
      </c>
      <c r="E419" s="668">
        <f t="shared" si="11"/>
        <v>2.1204878331156429E-2</v>
      </c>
    </row>
    <row r="420" spans="1:5" outlineLevel="2">
      <c r="A420" s="658">
        <v>44636</v>
      </c>
      <c r="B420" s="661">
        <v>3.53</v>
      </c>
      <c r="C420" s="661">
        <v>9160.51</v>
      </c>
      <c r="D420" s="664">
        <f t="shared" si="10"/>
        <v>0.15273525142392763</v>
      </c>
      <c r="E420" s="668">
        <f t="shared" si="11"/>
        <v>2.2160645283365404E-2</v>
      </c>
    </row>
    <row r="421" spans="1:5" outlineLevel="2">
      <c r="A421" s="658">
        <v>44637</v>
      </c>
      <c r="B421" s="661">
        <v>3.78</v>
      </c>
      <c r="C421" s="661">
        <v>9274.17</v>
      </c>
      <c r="D421" s="664">
        <f t="shared" si="10"/>
        <v>6.8426138686290952E-2</v>
      </c>
      <c r="E421" s="668">
        <f t="shared" si="11"/>
        <v>1.2331262626564988E-2</v>
      </c>
    </row>
    <row r="422" spans="1:5" outlineLevel="2">
      <c r="A422" s="658">
        <v>44638</v>
      </c>
      <c r="B422" s="661">
        <v>4.0999999999999996</v>
      </c>
      <c r="C422" s="661">
        <v>9382.43</v>
      </c>
      <c r="D422" s="664">
        <f t="shared" si="10"/>
        <v>8.1262964078765793E-2</v>
      </c>
      <c r="E422" s="668">
        <f t="shared" si="11"/>
        <v>1.1605674682499102E-2</v>
      </c>
    </row>
    <row r="423" spans="1:5" outlineLevel="2">
      <c r="A423" s="658">
        <v>44641</v>
      </c>
      <c r="B423" s="661">
        <v>3.87</v>
      </c>
      <c r="C423" s="661">
        <v>9378.84</v>
      </c>
      <c r="D423" s="664">
        <f t="shared" si="10"/>
        <v>-5.7732466668571618E-2</v>
      </c>
      <c r="E423" s="668">
        <f t="shared" si="11"/>
        <v>-3.827033078055171E-4</v>
      </c>
    </row>
    <row r="424" spans="1:5" outlineLevel="2">
      <c r="A424" s="658">
        <v>44642</v>
      </c>
      <c r="B424" s="661">
        <v>3.75</v>
      </c>
      <c r="C424" s="661">
        <v>9484.86</v>
      </c>
      <c r="D424" s="664">
        <f t="shared" si="10"/>
        <v>-3.1498667059371051E-2</v>
      </c>
      <c r="E424" s="668">
        <f t="shared" si="11"/>
        <v>1.1240755137150117E-2</v>
      </c>
    </row>
    <row r="425" spans="1:5" outlineLevel="2">
      <c r="A425" s="658">
        <v>44643</v>
      </c>
      <c r="B425" s="661">
        <v>3.71</v>
      </c>
      <c r="C425" s="661">
        <v>9368.98</v>
      </c>
      <c r="D425" s="664">
        <f t="shared" si="10"/>
        <v>-1.0723963362975724E-2</v>
      </c>
      <c r="E425" s="668">
        <f t="shared" si="11"/>
        <v>-1.2292610863212376E-2</v>
      </c>
    </row>
    <row r="426" spans="1:5" outlineLevel="2">
      <c r="A426" s="658">
        <v>44644</v>
      </c>
      <c r="B426" s="661">
        <v>3.63</v>
      </c>
      <c r="C426" s="661">
        <v>9504.19</v>
      </c>
      <c r="D426" s="664">
        <f t="shared" si="10"/>
        <v>-2.1799228342584402E-2</v>
      </c>
      <c r="E426" s="668">
        <f t="shared" si="11"/>
        <v>1.4328521735720025E-2</v>
      </c>
    </row>
    <row r="427" spans="1:5" outlineLevel="2">
      <c r="A427" s="658">
        <v>44645</v>
      </c>
      <c r="B427" s="661">
        <v>3.3</v>
      </c>
      <c r="C427" s="661">
        <v>9552.4</v>
      </c>
      <c r="D427" s="664">
        <f t="shared" si="10"/>
        <v>-9.5310179804324893E-2</v>
      </c>
      <c r="E427" s="668">
        <f t="shared" si="11"/>
        <v>5.0596778174184813E-3</v>
      </c>
    </row>
    <row r="428" spans="1:5" outlineLevel="2">
      <c r="A428" s="658">
        <v>44648</v>
      </c>
      <c r="B428" s="661">
        <v>3.44</v>
      </c>
      <c r="C428" s="661">
        <v>9620.66</v>
      </c>
      <c r="D428" s="664">
        <f t="shared" si="10"/>
        <v>4.1549002912872481E-2</v>
      </c>
      <c r="E428" s="668">
        <f t="shared" si="11"/>
        <v>7.1204375724946423E-3</v>
      </c>
    </row>
    <row r="429" spans="1:5" outlineLevel="2">
      <c r="A429" s="658">
        <v>44649</v>
      </c>
      <c r="B429" s="661">
        <v>3.91</v>
      </c>
      <c r="C429" s="661">
        <v>9738.6</v>
      </c>
      <c r="D429" s="664">
        <f t="shared" si="10"/>
        <v>0.12806590261196743</v>
      </c>
      <c r="E429" s="668">
        <f t="shared" si="11"/>
        <v>1.2184500764078047E-2</v>
      </c>
    </row>
    <row r="430" spans="1:5" outlineLevel="2">
      <c r="A430" s="658">
        <v>44650</v>
      </c>
      <c r="B430" s="661">
        <v>3.55</v>
      </c>
      <c r="C430" s="661">
        <v>9678.2999999999993</v>
      </c>
      <c r="D430" s="664">
        <f t="shared" si="10"/>
        <v>-9.6589770509950004E-2</v>
      </c>
      <c r="E430" s="668">
        <f t="shared" si="11"/>
        <v>-6.2111041261369753E-3</v>
      </c>
    </row>
    <row r="431" spans="1:5" outlineLevel="2">
      <c r="A431" s="658">
        <v>44651</v>
      </c>
      <c r="B431" s="661">
        <v>3.5</v>
      </c>
      <c r="C431" s="661">
        <v>9527.4599999999991</v>
      </c>
      <c r="D431" s="664">
        <f t="shared" si="10"/>
        <v>-1.4184634991956413E-2</v>
      </c>
      <c r="E431" s="668">
        <f t="shared" si="11"/>
        <v>-1.5708110646871401E-2</v>
      </c>
    </row>
    <row r="432" spans="1:5" outlineLevel="2">
      <c r="A432" s="658">
        <v>44652</v>
      </c>
      <c r="B432" s="661">
        <v>3.47</v>
      </c>
      <c r="C432" s="661">
        <v>9559.9500000000007</v>
      </c>
      <c r="D432" s="664">
        <f t="shared" si="10"/>
        <v>-8.6083745366001638E-3</v>
      </c>
      <c r="E432" s="668">
        <f t="shared" si="11"/>
        <v>3.4043415401752365E-3</v>
      </c>
    </row>
    <row r="433" spans="1:5" outlineLevel="2">
      <c r="A433" s="658">
        <v>44655</v>
      </c>
      <c r="B433" s="661">
        <v>3.92</v>
      </c>
      <c r="C433" s="661">
        <v>9637.3700000000008</v>
      </c>
      <c r="D433" s="664">
        <f t="shared" si="10"/>
        <v>0.1219370598436032</v>
      </c>
      <c r="E433" s="668">
        <f t="shared" si="11"/>
        <v>8.0657528990044011E-3</v>
      </c>
    </row>
    <row r="434" spans="1:5" outlineLevel="2">
      <c r="A434" s="658">
        <v>44656</v>
      </c>
      <c r="B434" s="661">
        <v>3.6949999999999998</v>
      </c>
      <c r="C434" s="661">
        <v>9517.94</v>
      </c>
      <c r="D434" s="664">
        <f t="shared" si="10"/>
        <v>-5.911109940220613E-2</v>
      </c>
      <c r="E434" s="668">
        <f t="shared" si="11"/>
        <v>-1.246981098941048E-2</v>
      </c>
    </row>
    <row r="435" spans="1:5" outlineLevel="2">
      <c r="A435" s="658">
        <v>44657</v>
      </c>
      <c r="B435" s="661">
        <v>3.59</v>
      </c>
      <c r="C435" s="661">
        <v>9425.49</v>
      </c>
      <c r="D435" s="664">
        <f t="shared" si="10"/>
        <v>-2.8828351899977612E-2</v>
      </c>
      <c r="E435" s="668">
        <f t="shared" si="11"/>
        <v>-9.7607174611104297E-3</v>
      </c>
    </row>
    <row r="436" spans="1:5" outlineLevel="2">
      <c r="A436" s="658">
        <v>44658</v>
      </c>
      <c r="B436" s="661">
        <v>3.48</v>
      </c>
      <c r="C436" s="661">
        <v>9466.76</v>
      </c>
      <c r="D436" s="664">
        <f t="shared" si="10"/>
        <v>-3.1119908713804517E-2</v>
      </c>
      <c r="E436" s="668">
        <f t="shared" si="11"/>
        <v>4.3689942327858446E-3</v>
      </c>
    </row>
    <row r="437" spans="1:5" outlineLevel="2">
      <c r="A437" s="658">
        <v>44659</v>
      </c>
      <c r="B437" s="661">
        <v>3.61</v>
      </c>
      <c r="C437" s="661">
        <v>9441.84</v>
      </c>
      <c r="D437" s="664">
        <f t="shared" si="10"/>
        <v>3.6675478558406568E-2</v>
      </c>
      <c r="E437" s="668">
        <f t="shared" si="11"/>
        <v>-2.6358391872426373E-3</v>
      </c>
    </row>
    <row r="438" spans="1:5" outlineLevel="2">
      <c r="A438" s="658">
        <v>44662</v>
      </c>
      <c r="B438" s="661">
        <v>3.52</v>
      </c>
      <c r="C438" s="661">
        <v>9282.48</v>
      </c>
      <c r="D438" s="664">
        <f t="shared" si="10"/>
        <v>-2.5246782734783813E-2</v>
      </c>
      <c r="E438" s="668">
        <f t="shared" si="11"/>
        <v>-1.7022123943333741E-2</v>
      </c>
    </row>
    <row r="439" spans="1:5" outlineLevel="2">
      <c r="A439" s="658">
        <v>44663</v>
      </c>
      <c r="B439" s="661">
        <v>3.4</v>
      </c>
      <c r="C439" s="661">
        <v>9251.07</v>
      </c>
      <c r="D439" s="664">
        <f t="shared" si="10"/>
        <v>-3.4685557987890102E-2</v>
      </c>
      <c r="E439" s="668">
        <f t="shared" si="11"/>
        <v>-3.3895319647083569E-3</v>
      </c>
    </row>
    <row r="440" spans="1:5" outlineLevel="2">
      <c r="A440" s="658">
        <v>44664</v>
      </c>
      <c r="B440" s="661">
        <v>3.48</v>
      </c>
      <c r="C440" s="661">
        <v>9356.2099999999991</v>
      </c>
      <c r="D440" s="664">
        <f t="shared" si="10"/>
        <v>2.3256862164267183E-2</v>
      </c>
      <c r="E440" s="668">
        <f t="shared" si="11"/>
        <v>1.1301073449467276E-2</v>
      </c>
    </row>
    <row r="441" spans="1:5" outlineLevel="2">
      <c r="A441" s="658">
        <v>44665</v>
      </c>
      <c r="B441" s="661">
        <v>3.2</v>
      </c>
      <c r="C441" s="661">
        <v>9242.58</v>
      </c>
      <c r="D441" s="664">
        <f t="shared" si="10"/>
        <v>-8.3881483980701999E-2</v>
      </c>
      <c r="E441" s="668">
        <f t="shared" si="11"/>
        <v>-1.2219226501615025E-2</v>
      </c>
    </row>
    <row r="442" spans="1:5" outlineLevel="2">
      <c r="A442" s="658">
        <v>44669</v>
      </c>
      <c r="B442" s="661">
        <v>3.05</v>
      </c>
      <c r="C442" s="661">
        <v>9240.69</v>
      </c>
      <c r="D442" s="664">
        <f t="shared" si="10"/>
        <v>-4.8009219186360724E-2</v>
      </c>
      <c r="E442" s="668">
        <f t="shared" si="11"/>
        <v>-2.0450926774172751E-4</v>
      </c>
    </row>
    <row r="443" spans="1:5" outlineLevel="2">
      <c r="A443" s="658">
        <v>44670</v>
      </c>
      <c r="B443" s="661">
        <v>3.29</v>
      </c>
      <c r="C443" s="661">
        <v>9389.2099999999991</v>
      </c>
      <c r="D443" s="664">
        <f t="shared" si="10"/>
        <v>7.5745974157960388E-2</v>
      </c>
      <c r="E443" s="668">
        <f t="shared" si="11"/>
        <v>1.5944599435288535E-2</v>
      </c>
    </row>
    <row r="444" spans="1:5" outlineLevel="2">
      <c r="A444" s="658">
        <v>44671</v>
      </c>
      <c r="B444" s="661">
        <v>3.01</v>
      </c>
      <c r="C444" s="661">
        <v>9383.5400000000009</v>
      </c>
      <c r="D444" s="664">
        <f t="shared" si="10"/>
        <v>-8.8947486016496297E-2</v>
      </c>
      <c r="E444" s="668">
        <f t="shared" si="11"/>
        <v>-6.0406708366239246E-4</v>
      </c>
    </row>
    <row r="445" spans="1:5" outlineLevel="2">
      <c r="A445" s="658">
        <v>44672</v>
      </c>
      <c r="B445" s="661">
        <v>2.86</v>
      </c>
      <c r="C445" s="661">
        <v>9245.86</v>
      </c>
      <c r="D445" s="664">
        <f t="shared" si="10"/>
        <v>-5.111845392902313E-2</v>
      </c>
      <c r="E445" s="668">
        <f t="shared" si="11"/>
        <v>-1.4781206773323638E-2</v>
      </c>
    </row>
    <row r="446" spans="1:5" outlineLevel="2">
      <c r="A446" s="658">
        <v>44673</v>
      </c>
      <c r="B446" s="661">
        <v>2.85</v>
      </c>
      <c r="C446" s="661">
        <v>8989.51</v>
      </c>
      <c r="D446" s="664">
        <f t="shared" si="10"/>
        <v>-3.5026305512020003E-3</v>
      </c>
      <c r="E446" s="668">
        <f t="shared" si="11"/>
        <v>-2.8117541775992037E-2</v>
      </c>
    </row>
    <row r="447" spans="1:5" outlineLevel="2">
      <c r="A447" s="658">
        <v>44676</v>
      </c>
      <c r="B447" s="661">
        <v>2.86</v>
      </c>
      <c r="C447" s="661">
        <v>9040.86</v>
      </c>
      <c r="D447" s="664">
        <f t="shared" si="10"/>
        <v>3.5026305512020745E-3</v>
      </c>
      <c r="E447" s="668">
        <f t="shared" si="11"/>
        <v>5.6959606301001326E-3</v>
      </c>
    </row>
    <row r="448" spans="1:5" outlineLevel="2">
      <c r="A448" s="658">
        <v>44677</v>
      </c>
      <c r="B448" s="661">
        <v>2.71</v>
      </c>
      <c r="C448" s="661">
        <v>8786.4699999999993</v>
      </c>
      <c r="D448" s="664">
        <f t="shared" si="10"/>
        <v>-5.3872989940151633E-2</v>
      </c>
      <c r="E448" s="668">
        <f t="shared" si="11"/>
        <v>-2.8541264304480594E-2</v>
      </c>
    </row>
    <row r="449" spans="1:5" outlineLevel="2">
      <c r="A449" s="658">
        <v>44678</v>
      </c>
      <c r="B449" s="661">
        <v>2.71</v>
      </c>
      <c r="C449" s="661">
        <v>8805</v>
      </c>
      <c r="D449" s="664">
        <f t="shared" si="10"/>
        <v>0</v>
      </c>
      <c r="E449" s="668">
        <f t="shared" si="11"/>
        <v>2.1067036300344497E-3</v>
      </c>
    </row>
    <row r="450" spans="1:5" outlineLevel="2">
      <c r="A450" s="658">
        <v>44679</v>
      </c>
      <c r="B450" s="661">
        <v>2.86</v>
      </c>
      <c r="C450" s="661">
        <v>9023.42</v>
      </c>
      <c r="D450" s="664">
        <f t="shared" si="10"/>
        <v>5.3872989940151612E-2</v>
      </c>
      <c r="E450" s="668">
        <f t="shared" si="11"/>
        <v>2.4503677692287312E-2</v>
      </c>
    </row>
    <row r="451" spans="1:5" outlineLevel="2">
      <c r="A451" s="658">
        <v>44680</v>
      </c>
      <c r="B451" s="661">
        <v>2.95</v>
      </c>
      <c r="C451" s="661">
        <v>8696.65</v>
      </c>
      <c r="D451" s="664">
        <f t="shared" si="10"/>
        <v>3.0983545519967442E-2</v>
      </c>
      <c r="E451" s="668">
        <f t="shared" si="11"/>
        <v>-3.6885525604847473E-2</v>
      </c>
    </row>
    <row r="452" spans="1:5" outlineLevel="2">
      <c r="A452" s="658">
        <v>44683</v>
      </c>
      <c r="B452" s="661">
        <v>3.11</v>
      </c>
      <c r="C452" s="661">
        <v>8746.0499999999993</v>
      </c>
      <c r="D452" s="664">
        <f t="shared" si="10"/>
        <v>5.2817555839414131E-2</v>
      </c>
      <c r="E452" s="668">
        <f t="shared" si="11"/>
        <v>5.664275837931913E-3</v>
      </c>
    </row>
    <row r="453" spans="1:5" outlineLevel="2">
      <c r="A453" s="658">
        <v>44684</v>
      </c>
      <c r="B453" s="661">
        <v>3.15</v>
      </c>
      <c r="C453" s="661">
        <v>8788.36</v>
      </c>
      <c r="D453" s="664">
        <f t="shared" si="10"/>
        <v>1.2779726646399021E-2</v>
      </c>
      <c r="E453" s="668">
        <f t="shared" si="11"/>
        <v>4.8259487619893024E-3</v>
      </c>
    </row>
    <row r="454" spans="1:5" outlineLevel="2">
      <c r="A454" s="658">
        <v>44685</v>
      </c>
      <c r="B454" s="661">
        <v>3.18</v>
      </c>
      <c r="C454" s="661">
        <v>9050.9</v>
      </c>
      <c r="D454" s="664">
        <f t="shared" si="10"/>
        <v>9.478743954543959E-3</v>
      </c>
      <c r="E454" s="668">
        <f t="shared" si="11"/>
        <v>2.9436081645540079E-2</v>
      </c>
    </row>
    <row r="455" spans="1:5" outlineLevel="2">
      <c r="A455" s="658">
        <v>44686</v>
      </c>
      <c r="B455" s="661">
        <v>3.03</v>
      </c>
      <c r="C455" s="661">
        <v>8729.2099999999991</v>
      </c>
      <c r="D455" s="664">
        <f t="shared" si="10"/>
        <v>-4.8318577270807801E-2</v>
      </c>
      <c r="E455" s="668">
        <f t="shared" si="11"/>
        <v>-3.618932707866826E-2</v>
      </c>
    </row>
    <row r="456" spans="1:5" outlineLevel="2">
      <c r="A456" s="658">
        <v>44687</v>
      </c>
      <c r="B456" s="661">
        <v>3.01</v>
      </c>
      <c r="C456" s="661">
        <v>8680.9699999999993</v>
      </c>
      <c r="D456" s="664">
        <f t="shared" si="10"/>
        <v>-6.6225407604933824E-3</v>
      </c>
      <c r="E456" s="668">
        <f t="shared" si="11"/>
        <v>-5.5415996217647572E-3</v>
      </c>
    </row>
    <row r="457" spans="1:5" outlineLevel="2">
      <c r="A457" s="658">
        <v>44690</v>
      </c>
      <c r="B457" s="661">
        <v>2.8</v>
      </c>
      <c r="C457" s="661">
        <v>8403.5</v>
      </c>
      <c r="D457" s="664">
        <f t="shared" si="10"/>
        <v>-7.2320661579626133E-2</v>
      </c>
      <c r="E457" s="668">
        <f t="shared" si="11"/>
        <v>-3.2484987846153439E-2</v>
      </c>
    </row>
    <row r="458" spans="1:5" outlineLevel="2">
      <c r="A458" s="658">
        <v>44691</v>
      </c>
      <c r="B458" s="661">
        <v>2.75</v>
      </c>
      <c r="C458" s="661">
        <v>8424.2000000000007</v>
      </c>
      <c r="D458" s="664">
        <f t="shared" si="10"/>
        <v>-1.801850550267825E-2</v>
      </c>
      <c r="E458" s="668">
        <f t="shared" si="11"/>
        <v>2.4602305057690814E-3</v>
      </c>
    </row>
    <row r="459" spans="1:5" outlineLevel="2">
      <c r="A459" s="658">
        <v>44692</v>
      </c>
      <c r="B459" s="661">
        <v>2.5099999999999998</v>
      </c>
      <c r="C459" s="661">
        <v>8285.82</v>
      </c>
      <c r="D459" s="664">
        <f t="shared" si="10"/>
        <v>-9.131815853478753E-2</v>
      </c>
      <c r="E459" s="668">
        <f t="shared" si="11"/>
        <v>-1.6562896209848254E-2</v>
      </c>
    </row>
    <row r="460" spans="1:5" outlineLevel="2">
      <c r="A460" s="658">
        <v>44693</v>
      </c>
      <c r="B460" s="661">
        <v>2.7</v>
      </c>
      <c r="C460" s="661">
        <v>8278.0400000000009</v>
      </c>
      <c r="D460" s="664">
        <f t="shared" si="10"/>
        <v>7.2969019866591017E-2</v>
      </c>
      <c r="E460" s="668">
        <f t="shared" si="11"/>
        <v>-9.3939463049413983E-4</v>
      </c>
    </row>
    <row r="461" spans="1:5" outlineLevel="2">
      <c r="A461" s="658">
        <v>44694</v>
      </c>
      <c r="B461" s="661">
        <v>2.82</v>
      </c>
      <c r="C461" s="661">
        <v>8476.57</v>
      </c>
      <c r="D461" s="664">
        <f t="shared" si="10"/>
        <v>4.3485111939738676E-2</v>
      </c>
      <c r="E461" s="668">
        <f t="shared" si="11"/>
        <v>2.3699661447267064E-2</v>
      </c>
    </row>
    <row r="462" spans="1:5" outlineLevel="2">
      <c r="A462" s="658">
        <v>44697</v>
      </c>
      <c r="B462" s="661">
        <v>2.5750000000000002</v>
      </c>
      <c r="C462" s="661">
        <v>8443.5499999999993</v>
      </c>
      <c r="D462" s="664">
        <f t="shared" si="10"/>
        <v>-9.0887350834322617E-2</v>
      </c>
      <c r="E462" s="668">
        <f t="shared" si="11"/>
        <v>-3.9030505597288053E-3</v>
      </c>
    </row>
    <row r="463" spans="1:5" outlineLevel="2">
      <c r="A463" s="658">
        <v>44698</v>
      </c>
      <c r="B463" s="661">
        <v>2.73</v>
      </c>
      <c r="C463" s="661">
        <v>8614.31</v>
      </c>
      <c r="D463" s="664">
        <f t="shared" si="10"/>
        <v>5.8452075081168745E-2</v>
      </c>
      <c r="E463" s="668">
        <f t="shared" si="11"/>
        <v>2.002193762355084E-2</v>
      </c>
    </row>
    <row r="464" spans="1:5" outlineLevel="2">
      <c r="A464" s="658">
        <v>44699</v>
      </c>
      <c r="B464" s="661">
        <v>2.5299999999999998</v>
      </c>
      <c r="C464" s="661">
        <v>8268.32</v>
      </c>
      <c r="D464" s="664">
        <f t="shared" si="10"/>
        <v>-7.6082306457439575E-2</v>
      </c>
      <c r="E464" s="668">
        <f t="shared" si="11"/>
        <v>-4.0993429405506911E-2</v>
      </c>
    </row>
    <row r="465" spans="1:5" outlineLevel="2">
      <c r="A465" s="658">
        <v>44700</v>
      </c>
      <c r="B465" s="661">
        <v>3.14</v>
      </c>
      <c r="C465" s="661">
        <v>8220.9699999999993</v>
      </c>
      <c r="D465" s="664">
        <f t="shared" si="10"/>
        <v>0.21600349718073325</v>
      </c>
      <c r="E465" s="668">
        <f t="shared" si="11"/>
        <v>-5.7431375332510255E-3</v>
      </c>
    </row>
    <row r="466" spans="1:5" outlineLevel="2">
      <c r="A466" s="658">
        <v>44701</v>
      </c>
      <c r="B466" s="661">
        <v>3.21</v>
      </c>
      <c r="C466" s="661">
        <v>8222.31</v>
      </c>
      <c r="D466" s="664">
        <f t="shared" si="10"/>
        <v>2.2048137221762385E-2</v>
      </c>
      <c r="E466" s="668">
        <f t="shared" si="11"/>
        <v>1.6298451439936021E-4</v>
      </c>
    </row>
    <row r="467" spans="1:5" outlineLevel="2">
      <c r="A467" s="658">
        <v>44704</v>
      </c>
      <c r="B467" s="661">
        <v>2.89</v>
      </c>
      <c r="C467" s="661">
        <v>8375.8700000000008</v>
      </c>
      <c r="D467" s="664">
        <f t="shared" si="10"/>
        <v>-0.10501443501758359</v>
      </c>
      <c r="E467" s="668">
        <f t="shared" si="11"/>
        <v>1.8503761426288113E-2</v>
      </c>
    </row>
    <row r="468" spans="1:5" outlineLevel="2">
      <c r="A468" s="658">
        <v>44705</v>
      </c>
      <c r="B468" s="661">
        <v>2.5499999999999998</v>
      </c>
      <c r="C468" s="661">
        <v>8307.9699999999993</v>
      </c>
      <c r="D468" s="664">
        <f t="shared" si="10"/>
        <v>-0.12516314295400616</v>
      </c>
      <c r="E468" s="668">
        <f t="shared" si="11"/>
        <v>-8.1396578829546241E-3</v>
      </c>
    </row>
    <row r="469" spans="1:5" outlineLevel="2">
      <c r="A469" s="658">
        <v>44706</v>
      </c>
      <c r="B469" s="661">
        <v>2.42</v>
      </c>
      <c r="C469" s="661">
        <v>8386.6200000000008</v>
      </c>
      <c r="D469" s="664">
        <f t="shared" si="10"/>
        <v>-5.2325819001739673E-2</v>
      </c>
      <c r="E469" s="668">
        <f t="shared" si="11"/>
        <v>9.4222837307565283E-3</v>
      </c>
    </row>
    <row r="470" spans="1:5" outlineLevel="2">
      <c r="A470" s="658">
        <v>44707</v>
      </c>
      <c r="B470" s="661">
        <v>2.3199999999999998</v>
      </c>
      <c r="C470" s="661">
        <v>8553.68</v>
      </c>
      <c r="D470" s="664">
        <f t="shared" si="10"/>
        <v>-4.2200354490376533E-2</v>
      </c>
      <c r="E470" s="668">
        <f t="shared" si="11"/>
        <v>1.9724020945124845E-2</v>
      </c>
    </row>
    <row r="471" spans="1:5" outlineLevel="2">
      <c r="A471" s="658">
        <v>44708</v>
      </c>
      <c r="B471" s="661">
        <v>2.41</v>
      </c>
      <c r="C471" s="661">
        <v>8766.83</v>
      </c>
      <c r="D471" s="664">
        <f t="shared" si="10"/>
        <v>3.8059561824345195E-2</v>
      </c>
      <c r="E471" s="668">
        <f t="shared" si="11"/>
        <v>2.4613681814901828E-2</v>
      </c>
    </row>
    <row r="472" spans="1:5" outlineLevel="2">
      <c r="A472" s="658">
        <v>44712</v>
      </c>
      <c r="B472" s="661">
        <v>2.66</v>
      </c>
      <c r="C472" s="661">
        <v>8712.6</v>
      </c>
      <c r="D472" s="664">
        <f t="shared" si="10"/>
        <v>9.8699375291044153E-2</v>
      </c>
      <c r="E472" s="668">
        <f t="shared" si="11"/>
        <v>-6.2050277381484331E-3</v>
      </c>
    </row>
    <row r="473" spans="1:5" outlineLevel="2">
      <c r="A473" s="658">
        <v>44713</v>
      </c>
      <c r="B473" s="661">
        <v>2.61</v>
      </c>
      <c r="C473" s="661">
        <v>8648.2800000000007</v>
      </c>
      <c r="D473" s="664">
        <f t="shared" si="10"/>
        <v>-1.8975901459005805E-2</v>
      </c>
      <c r="E473" s="668">
        <f t="shared" si="11"/>
        <v>-7.409796541533043E-3</v>
      </c>
    </row>
    <row r="474" spans="1:5" outlineLevel="2">
      <c r="A474" s="658">
        <v>44714</v>
      </c>
      <c r="B474" s="661">
        <v>2.63</v>
      </c>
      <c r="C474" s="661">
        <v>8809.18</v>
      </c>
      <c r="D474" s="664">
        <f t="shared" si="10"/>
        <v>7.6336248550712051E-3</v>
      </c>
      <c r="E474" s="668">
        <f t="shared" si="11"/>
        <v>1.8433902325223964E-2</v>
      </c>
    </row>
    <row r="475" spans="1:5" outlineLevel="2">
      <c r="A475" s="658">
        <v>44715</v>
      </c>
      <c r="B475" s="661">
        <v>2.54</v>
      </c>
      <c r="C475" s="661">
        <v>8665.7999999999993</v>
      </c>
      <c r="D475" s="664">
        <f t="shared" si="10"/>
        <v>-3.4819765159227925E-2</v>
      </c>
      <c r="E475" s="668">
        <f t="shared" si="11"/>
        <v>-1.6410115213261703E-2</v>
      </c>
    </row>
    <row r="476" spans="1:5" outlineLevel="2">
      <c r="A476" s="658">
        <v>44718</v>
      </c>
      <c r="B476" s="661">
        <v>2.64</v>
      </c>
      <c r="C476" s="661">
        <v>8693.06</v>
      </c>
      <c r="D476" s="664">
        <f t="shared" si="10"/>
        <v>3.8614836127779516E-2</v>
      </c>
      <c r="E476" s="668">
        <f t="shared" si="11"/>
        <v>3.1407618252109531E-3</v>
      </c>
    </row>
    <row r="477" spans="1:5" outlineLevel="2">
      <c r="A477" s="658">
        <v>44719</v>
      </c>
      <c r="B477" s="661">
        <v>2.65</v>
      </c>
      <c r="C477" s="661">
        <v>8776.09</v>
      </c>
      <c r="D477" s="664">
        <f t="shared" si="10"/>
        <v>3.7807228399059311E-3</v>
      </c>
      <c r="E477" s="668">
        <f t="shared" si="11"/>
        <v>9.5059719836624989E-3</v>
      </c>
    </row>
    <row r="478" spans="1:5" outlineLevel="2">
      <c r="A478" s="658">
        <v>44720</v>
      </c>
      <c r="B478" s="661">
        <v>3.06</v>
      </c>
      <c r="C478" s="661">
        <v>8681.68</v>
      </c>
      <c r="D478" s="664">
        <f t="shared" si="10"/>
        <v>0.14385527596615855</v>
      </c>
      <c r="E478" s="668">
        <f t="shared" si="11"/>
        <v>-1.0815919830629366E-2</v>
      </c>
    </row>
    <row r="479" spans="1:5" outlineLevel="2">
      <c r="A479" s="658">
        <v>44721</v>
      </c>
      <c r="B479" s="661">
        <v>2.89</v>
      </c>
      <c r="C479" s="661">
        <v>8475.91</v>
      </c>
      <c r="D479" s="664">
        <f t="shared" si="10"/>
        <v>-5.7158413839948637E-2</v>
      </c>
      <c r="E479" s="668">
        <f t="shared" si="11"/>
        <v>-2.3987036197743793E-2</v>
      </c>
    </row>
    <row r="480" spans="1:5" outlineLevel="2">
      <c r="A480" s="658">
        <v>44722</v>
      </c>
      <c r="B480" s="661">
        <v>2.71</v>
      </c>
      <c r="C480" s="661">
        <v>8229.43</v>
      </c>
      <c r="D480" s="664">
        <f t="shared" si="10"/>
        <v>-6.4307867232731325E-2</v>
      </c>
      <c r="E480" s="668">
        <f t="shared" si="11"/>
        <v>-2.9511268652297321E-2</v>
      </c>
    </row>
    <row r="481" spans="1:5" outlineLevel="2">
      <c r="A481" s="658">
        <v>44725</v>
      </c>
      <c r="B481" s="661">
        <v>2.4300000000000002</v>
      </c>
      <c r="C481" s="661">
        <v>7910.43</v>
      </c>
      <c r="D481" s="664">
        <f t="shared" ref="D481:D544" si="12">LN(B481/B480)</f>
        <v>-0.10905737753915237</v>
      </c>
      <c r="E481" s="668">
        <f t="shared" ref="E481:E544" si="13">LN(C481/C480)</f>
        <v>-3.9534611611579909E-2</v>
      </c>
    </row>
    <row r="482" spans="1:5" outlineLevel="2">
      <c r="A482" s="658">
        <v>44726</v>
      </c>
      <c r="B482" s="661">
        <v>2.4500000000000002</v>
      </c>
      <c r="C482" s="661">
        <v>7883.34</v>
      </c>
      <c r="D482" s="664">
        <f t="shared" si="12"/>
        <v>8.1967672041784907E-3</v>
      </c>
      <c r="E482" s="668">
        <f t="shared" si="13"/>
        <v>-3.4304699342252686E-3</v>
      </c>
    </row>
    <row r="483" spans="1:5" outlineLevel="2">
      <c r="A483" s="658">
        <v>44727</v>
      </c>
      <c r="B483" s="661">
        <v>2.5</v>
      </c>
      <c r="C483" s="661">
        <v>7998.62</v>
      </c>
      <c r="D483" s="664">
        <f t="shared" si="12"/>
        <v>2.0202707317519469E-2</v>
      </c>
      <c r="E483" s="668">
        <f t="shared" si="13"/>
        <v>1.4517354864562973E-2</v>
      </c>
    </row>
    <row r="484" spans="1:5" outlineLevel="2">
      <c r="A484" s="658">
        <v>44728</v>
      </c>
      <c r="B484" s="661">
        <v>2.35</v>
      </c>
      <c r="C484" s="661">
        <v>7739.39</v>
      </c>
      <c r="D484" s="664">
        <f t="shared" si="12"/>
        <v>-6.1875403718087411E-2</v>
      </c>
      <c r="E484" s="668">
        <f t="shared" si="13"/>
        <v>-3.294615367365207E-2</v>
      </c>
    </row>
    <row r="485" spans="1:5" outlineLevel="2">
      <c r="A485" s="658">
        <v>44729</v>
      </c>
      <c r="B485" s="661">
        <v>2.33</v>
      </c>
      <c r="C485" s="661">
        <v>7756.6</v>
      </c>
      <c r="D485" s="664">
        <f t="shared" si="12"/>
        <v>-8.5470605784584083E-3</v>
      </c>
      <c r="E485" s="668">
        <f t="shared" si="13"/>
        <v>2.2212207256098503E-3</v>
      </c>
    </row>
    <row r="486" spans="1:5" outlineLevel="2">
      <c r="A486" s="658">
        <v>44733</v>
      </c>
      <c r="B486" s="661">
        <v>2.73</v>
      </c>
      <c r="C486" s="661">
        <v>7946.89</v>
      </c>
      <c r="D486" s="664">
        <f t="shared" si="12"/>
        <v>0.15843334161925909</v>
      </c>
      <c r="E486" s="668">
        <f t="shared" si="13"/>
        <v>2.423656330901678E-2</v>
      </c>
    </row>
    <row r="487" spans="1:5" outlineLevel="2">
      <c r="A487" s="658">
        <v>44734</v>
      </c>
      <c r="B487" s="661">
        <v>2.56</v>
      </c>
      <c r="C487" s="661">
        <v>7936.67</v>
      </c>
      <c r="D487" s="664">
        <f t="shared" si="12"/>
        <v>-6.4294350705397255E-2</v>
      </c>
      <c r="E487" s="668">
        <f t="shared" si="13"/>
        <v>-1.2868653388004778E-3</v>
      </c>
    </row>
    <row r="488" spans="1:5" outlineLevel="2">
      <c r="A488" s="658">
        <v>44735</v>
      </c>
      <c r="B488" s="661">
        <v>2.74</v>
      </c>
      <c r="C488" s="661">
        <v>8012.68</v>
      </c>
      <c r="D488" s="664">
        <f t="shared" si="12"/>
        <v>6.7950661908507751E-2</v>
      </c>
      <c r="E488" s="668">
        <f t="shared" si="13"/>
        <v>9.5314950708786199E-3</v>
      </c>
    </row>
    <row r="489" spans="1:5" outlineLevel="2">
      <c r="A489" s="658">
        <v>44736</v>
      </c>
      <c r="B489" s="661">
        <v>2.89</v>
      </c>
      <c r="C489" s="661">
        <v>8257.7199999999993</v>
      </c>
      <c r="D489" s="664">
        <f t="shared" si="12"/>
        <v>5.3298581724361922E-2</v>
      </c>
      <c r="E489" s="668">
        <f t="shared" si="13"/>
        <v>3.0123233481112576E-2</v>
      </c>
    </row>
    <row r="490" spans="1:5" outlineLevel="2">
      <c r="A490" s="658">
        <v>44739</v>
      </c>
      <c r="B490" s="661">
        <v>2.69</v>
      </c>
      <c r="C490" s="661">
        <v>8233.42</v>
      </c>
      <c r="D490" s="664">
        <f t="shared" si="12"/>
        <v>-7.1715308510593115E-2</v>
      </c>
      <c r="E490" s="668">
        <f t="shared" si="13"/>
        <v>-2.9470391479548951E-3</v>
      </c>
    </row>
    <row r="491" spans="1:5" outlineLevel="2">
      <c r="A491" s="658">
        <v>44740</v>
      </c>
      <c r="B491" s="661">
        <v>2.52</v>
      </c>
      <c r="C491" s="661">
        <v>8067.56</v>
      </c>
      <c r="D491" s="664">
        <f t="shared" si="12"/>
        <v>-6.5282292090415778E-2</v>
      </c>
      <c r="E491" s="668">
        <f t="shared" si="13"/>
        <v>-2.0350399061668124E-2</v>
      </c>
    </row>
    <row r="492" spans="1:5" outlineLevel="2">
      <c r="A492" s="658">
        <v>44741</v>
      </c>
      <c r="B492" s="661">
        <v>2.5499999999999998</v>
      </c>
      <c r="C492" s="661">
        <v>8062.72</v>
      </c>
      <c r="D492" s="664">
        <f t="shared" si="12"/>
        <v>1.1834457647002798E-2</v>
      </c>
      <c r="E492" s="668">
        <f t="shared" si="13"/>
        <v>-6.00113593224021E-4</v>
      </c>
    </row>
    <row r="493" spans="1:5" outlineLevel="2">
      <c r="A493" s="658">
        <v>44742</v>
      </c>
      <c r="B493" s="661">
        <v>2.5299999999999998</v>
      </c>
      <c r="C493" s="661">
        <v>7993.43</v>
      </c>
      <c r="D493" s="664">
        <f t="shared" si="12"/>
        <v>-7.874056430905883E-3</v>
      </c>
      <c r="E493" s="668">
        <f t="shared" si="13"/>
        <v>-8.6310143020080169E-3</v>
      </c>
    </row>
    <row r="494" spans="1:5" outlineLevel="2">
      <c r="A494" s="658">
        <v>44743</v>
      </c>
      <c r="B494" s="661">
        <v>2.38</v>
      </c>
      <c r="C494" s="661">
        <v>8077.89</v>
      </c>
      <c r="D494" s="664">
        <f t="shared" si="12"/>
        <v>-6.1118815056045529E-2</v>
      </c>
      <c r="E494" s="668">
        <f t="shared" si="13"/>
        <v>1.0510745547207939E-2</v>
      </c>
    </row>
    <row r="495" spans="1:5" outlineLevel="2">
      <c r="A495" s="658">
        <v>44747</v>
      </c>
      <c r="B495" s="661">
        <v>2.71</v>
      </c>
      <c r="C495" s="661">
        <v>8092.15</v>
      </c>
      <c r="D495" s="664">
        <f t="shared" si="12"/>
        <v>0.12984814720822616</v>
      </c>
      <c r="E495" s="668">
        <f t="shared" si="13"/>
        <v>1.7637561436718531E-3</v>
      </c>
    </row>
    <row r="496" spans="1:5" outlineLevel="2">
      <c r="A496" s="658">
        <v>44748</v>
      </c>
      <c r="B496" s="661">
        <v>2.52</v>
      </c>
      <c r="C496" s="661">
        <v>8121.21</v>
      </c>
      <c r="D496" s="664">
        <f t="shared" si="12"/>
        <v>-7.2689733368277526E-2</v>
      </c>
      <c r="E496" s="668">
        <f t="shared" si="13"/>
        <v>3.5847018901230951E-3</v>
      </c>
    </row>
    <row r="497" spans="1:5" outlineLevel="2">
      <c r="A497" s="658">
        <v>44749</v>
      </c>
      <c r="B497" s="661">
        <v>2.63</v>
      </c>
      <c r="C497" s="661">
        <v>8243.69</v>
      </c>
      <c r="D497" s="664">
        <f t="shared" si="12"/>
        <v>4.2724944666341094E-2</v>
      </c>
      <c r="E497" s="668">
        <f t="shared" si="13"/>
        <v>1.4968901365596908E-2</v>
      </c>
    </row>
    <row r="498" spans="1:5" outlineLevel="2">
      <c r="A498" s="658">
        <v>44750</v>
      </c>
      <c r="B498" s="661">
        <v>2.5</v>
      </c>
      <c r="C498" s="661">
        <v>8237.5</v>
      </c>
      <c r="D498" s="664">
        <f t="shared" si="12"/>
        <v>-5.0693114315518095E-2</v>
      </c>
      <c r="E498" s="668">
        <f t="shared" si="13"/>
        <v>-7.5115938728392037E-4</v>
      </c>
    </row>
    <row r="499" spans="1:5" outlineLevel="2">
      <c r="A499" s="658">
        <v>44753</v>
      </c>
      <c r="B499" s="661">
        <v>2.39</v>
      </c>
      <c r="C499" s="661">
        <v>8142.68</v>
      </c>
      <c r="D499" s="664">
        <f t="shared" si="12"/>
        <v>-4.4997365930735694E-2</v>
      </c>
      <c r="E499" s="668">
        <f t="shared" si="13"/>
        <v>-1.1577535671983729E-2</v>
      </c>
    </row>
    <row r="500" spans="1:5" outlineLevel="2">
      <c r="A500" s="658">
        <v>44754</v>
      </c>
      <c r="B500" s="661">
        <v>2.5099999999999998</v>
      </c>
      <c r="C500" s="661">
        <v>8067.56</v>
      </c>
      <c r="D500" s="664">
        <f t="shared" si="12"/>
        <v>4.8989387200273134E-2</v>
      </c>
      <c r="E500" s="668">
        <f t="shared" si="13"/>
        <v>-9.268281992099987E-3</v>
      </c>
    </row>
    <row r="501" spans="1:5" outlineLevel="2">
      <c r="A501" s="658">
        <v>44755</v>
      </c>
      <c r="B501" s="661">
        <v>2.5</v>
      </c>
      <c r="C501" s="661">
        <v>8031.76</v>
      </c>
      <c r="D501" s="664">
        <f t="shared" si="12"/>
        <v>-3.9920212695373379E-3</v>
      </c>
      <c r="E501" s="668">
        <f t="shared" si="13"/>
        <v>-4.4474001396864766E-3</v>
      </c>
    </row>
    <row r="502" spans="1:5" outlineLevel="2">
      <c r="A502" s="658">
        <v>44756</v>
      </c>
      <c r="B502" s="661">
        <v>2.48</v>
      </c>
      <c r="C502" s="661">
        <v>8008.71</v>
      </c>
      <c r="D502" s="664">
        <f t="shared" si="12"/>
        <v>-8.0321716972642666E-3</v>
      </c>
      <c r="E502" s="668">
        <f t="shared" si="13"/>
        <v>-2.8739826034587146E-3</v>
      </c>
    </row>
    <row r="503" spans="1:5" outlineLevel="2">
      <c r="A503" s="658">
        <v>44757</v>
      </c>
      <c r="B503" s="661">
        <v>2.4900000000000002</v>
      </c>
      <c r="C503" s="661">
        <v>8162.5</v>
      </c>
      <c r="D503" s="664">
        <f t="shared" si="12"/>
        <v>4.024150299725548E-3</v>
      </c>
      <c r="E503" s="668">
        <f t="shared" si="13"/>
        <v>1.9020795181152884E-2</v>
      </c>
    </row>
    <row r="504" spans="1:5" outlineLevel="2">
      <c r="A504" s="658">
        <v>44760</v>
      </c>
      <c r="B504" s="661">
        <v>2.73</v>
      </c>
      <c r="C504" s="661">
        <v>8094.23</v>
      </c>
      <c r="D504" s="664">
        <f t="shared" si="12"/>
        <v>9.2018898720251999E-2</v>
      </c>
      <c r="E504" s="668">
        <f t="shared" si="13"/>
        <v>-8.3990324419064583E-3</v>
      </c>
    </row>
    <row r="505" spans="1:5" outlineLevel="2">
      <c r="A505" s="658">
        <v>44761</v>
      </c>
      <c r="B505" s="661">
        <v>2.82</v>
      </c>
      <c r="C505" s="661">
        <v>8318.2000000000007</v>
      </c>
      <c r="D505" s="664">
        <f t="shared" si="12"/>
        <v>3.243527575315374E-2</v>
      </c>
      <c r="E505" s="668">
        <f t="shared" si="13"/>
        <v>2.7294423112423076E-2</v>
      </c>
    </row>
    <row r="506" spans="1:5" outlineLevel="2">
      <c r="A506" s="658">
        <v>44762</v>
      </c>
      <c r="B506" s="661">
        <v>2.89</v>
      </c>
      <c r="C506" s="661">
        <v>8367.3700000000008</v>
      </c>
      <c r="D506" s="664">
        <f t="shared" si="12"/>
        <v>2.4519617174318661E-2</v>
      </c>
      <c r="E506" s="668">
        <f t="shared" si="13"/>
        <v>5.8937324084238464E-3</v>
      </c>
    </row>
    <row r="507" spans="1:5" outlineLevel="2">
      <c r="A507" s="658">
        <v>44763</v>
      </c>
      <c r="B507" s="661">
        <v>2.93</v>
      </c>
      <c r="C507" s="661">
        <v>8450.64</v>
      </c>
      <c r="D507" s="664">
        <f t="shared" si="12"/>
        <v>1.3745920904635136E-2</v>
      </c>
      <c r="E507" s="668">
        <f t="shared" si="13"/>
        <v>9.9025604644607749E-3</v>
      </c>
    </row>
    <row r="508" spans="1:5" outlineLevel="2">
      <c r="A508" s="658">
        <v>44764</v>
      </c>
      <c r="B508" s="661">
        <v>2.73</v>
      </c>
      <c r="C508" s="661">
        <v>8371.8700000000008</v>
      </c>
      <c r="D508" s="664">
        <f t="shared" si="12"/>
        <v>-7.0700813832107592E-2</v>
      </c>
      <c r="E508" s="668">
        <f t="shared" si="13"/>
        <v>-9.3649016330677112E-3</v>
      </c>
    </row>
    <row r="509" spans="1:5" outlineLevel="2">
      <c r="A509" s="658">
        <v>44767</v>
      </c>
      <c r="B509" s="661">
        <v>2.75</v>
      </c>
      <c r="C509" s="661">
        <v>8382.8799999999992</v>
      </c>
      <c r="D509" s="664">
        <f t="shared" si="12"/>
        <v>7.2993024816115351E-3</v>
      </c>
      <c r="E509" s="668">
        <f t="shared" si="13"/>
        <v>1.3142543559006271E-3</v>
      </c>
    </row>
    <row r="510" spans="1:5" outlineLevel="2">
      <c r="A510" s="658">
        <v>44768</v>
      </c>
      <c r="B510" s="661">
        <v>2.89</v>
      </c>
      <c r="C510" s="661">
        <v>8286.19</v>
      </c>
      <c r="D510" s="664">
        <f t="shared" si="12"/>
        <v>4.9655590445860966E-2</v>
      </c>
      <c r="E510" s="668">
        <f t="shared" si="13"/>
        <v>-1.1601257232682856E-2</v>
      </c>
    </row>
    <row r="511" spans="1:5" outlineLevel="2">
      <c r="A511" s="658">
        <v>44769</v>
      </c>
      <c r="B511" s="661">
        <v>2.93</v>
      </c>
      <c r="C511" s="661">
        <v>8503.02</v>
      </c>
      <c r="D511" s="664">
        <f t="shared" si="12"/>
        <v>1.3745920904635136E-2</v>
      </c>
      <c r="E511" s="668">
        <f t="shared" si="13"/>
        <v>2.5831120875808099E-2</v>
      </c>
    </row>
    <row r="512" spans="1:5" outlineLevel="2">
      <c r="A512" s="658">
        <v>44770</v>
      </c>
      <c r="B512" s="661">
        <v>2.97</v>
      </c>
      <c r="C512" s="661">
        <v>8607.24</v>
      </c>
      <c r="D512" s="664">
        <f t="shared" si="12"/>
        <v>1.3559529785632294E-2</v>
      </c>
      <c r="E512" s="668">
        <f t="shared" si="13"/>
        <v>1.2182315046906074E-2</v>
      </c>
    </row>
    <row r="513" spans="1:5" outlineLevel="2">
      <c r="A513" s="658">
        <v>44771</v>
      </c>
      <c r="B513" s="661">
        <v>2.95</v>
      </c>
      <c r="C513" s="661">
        <v>8730.4599999999991</v>
      </c>
      <c r="D513" s="664">
        <f t="shared" si="12"/>
        <v>-6.7567824628797625E-3</v>
      </c>
      <c r="E513" s="668">
        <f t="shared" si="13"/>
        <v>1.4214350771652784E-2</v>
      </c>
    </row>
    <row r="514" spans="1:5" outlineLevel="2">
      <c r="A514" s="658">
        <v>44774</v>
      </c>
      <c r="B514" s="661">
        <v>2.88</v>
      </c>
      <c r="C514" s="661">
        <v>8705.8700000000008</v>
      </c>
      <c r="D514" s="664">
        <f t="shared" si="12"/>
        <v>-2.4014876203873967E-2</v>
      </c>
      <c r="E514" s="668">
        <f t="shared" si="13"/>
        <v>-2.8205495424944273E-3</v>
      </c>
    </row>
    <row r="515" spans="1:5" outlineLevel="2">
      <c r="A515" s="658">
        <v>44775</v>
      </c>
      <c r="B515" s="661">
        <v>3.1</v>
      </c>
      <c r="C515" s="661">
        <v>8647.91</v>
      </c>
      <c r="D515" s="664">
        <f t="shared" si="12"/>
        <v>7.3611817343246164E-2</v>
      </c>
      <c r="E515" s="668">
        <f t="shared" si="13"/>
        <v>-6.6798375357471169E-3</v>
      </c>
    </row>
    <row r="516" spans="1:5" outlineLevel="2">
      <c r="A516" s="658">
        <v>44776</v>
      </c>
      <c r="B516" s="661">
        <v>3.3</v>
      </c>
      <c r="C516" s="661">
        <v>8783.2800000000007</v>
      </c>
      <c r="D516" s="664">
        <f t="shared" si="12"/>
        <v>6.252035698133393E-2</v>
      </c>
      <c r="E516" s="668">
        <f t="shared" si="13"/>
        <v>1.5532240942338309E-2</v>
      </c>
    </row>
    <row r="517" spans="1:5" outlineLevel="2">
      <c r="A517" s="658">
        <v>44777</v>
      </c>
      <c r="B517" s="661">
        <v>3.62</v>
      </c>
      <c r="C517" s="661">
        <v>8777.23</v>
      </c>
      <c r="D517" s="664">
        <f t="shared" si="12"/>
        <v>9.2551557365245299E-2</v>
      </c>
      <c r="E517" s="668">
        <f t="shared" si="13"/>
        <v>-6.890460743306455E-4</v>
      </c>
    </row>
    <row r="518" spans="1:5" outlineLevel="2">
      <c r="A518" s="658">
        <v>44778</v>
      </c>
      <c r="B518" s="661">
        <v>3.81</v>
      </c>
      <c r="C518" s="661">
        <v>8764.08</v>
      </c>
      <c r="D518" s="664">
        <f t="shared" si="12"/>
        <v>5.1155163300929833E-2</v>
      </c>
      <c r="E518" s="668">
        <f t="shared" si="13"/>
        <v>-1.4993181767363683E-3</v>
      </c>
    </row>
    <row r="519" spans="1:5" outlineLevel="2">
      <c r="A519" s="658">
        <v>44781</v>
      </c>
      <c r="B519" s="661">
        <v>3.74</v>
      </c>
      <c r="C519" s="661">
        <v>8753.39</v>
      </c>
      <c r="D519" s="664">
        <f t="shared" si="12"/>
        <v>-1.8543577712168961E-2</v>
      </c>
      <c r="E519" s="668">
        <f t="shared" si="13"/>
        <v>-1.2204960336161506E-3</v>
      </c>
    </row>
    <row r="520" spans="1:5" outlineLevel="2">
      <c r="A520" s="658">
        <v>44782</v>
      </c>
      <c r="B520" s="661">
        <v>3.56</v>
      </c>
      <c r="C520" s="661">
        <v>8716.75</v>
      </c>
      <c r="D520" s="664">
        <f t="shared" si="12"/>
        <v>-4.932506656250156E-2</v>
      </c>
      <c r="E520" s="668">
        <f t="shared" si="13"/>
        <v>-4.1945918833124016E-3</v>
      </c>
    </row>
    <row r="521" spans="1:5" outlineLevel="2">
      <c r="A521" s="658">
        <v>44783</v>
      </c>
      <c r="B521" s="661">
        <v>3.68</v>
      </c>
      <c r="C521" s="661">
        <v>8902.7199999999993</v>
      </c>
      <c r="D521" s="664">
        <f t="shared" si="12"/>
        <v>3.315220731690055E-2</v>
      </c>
      <c r="E521" s="668">
        <f t="shared" si="13"/>
        <v>2.1110385997391935E-2</v>
      </c>
    </row>
    <row r="522" spans="1:5" outlineLevel="2">
      <c r="A522" s="658">
        <v>44784</v>
      </c>
      <c r="B522" s="661">
        <v>3.76</v>
      </c>
      <c r="C522" s="661">
        <v>8898.84</v>
      </c>
      <c r="D522" s="664">
        <f t="shared" si="12"/>
        <v>2.1506205220963463E-2</v>
      </c>
      <c r="E522" s="668">
        <f t="shared" si="13"/>
        <v>-4.3591685913376153E-4</v>
      </c>
    </row>
    <row r="523" spans="1:5" outlineLevel="2">
      <c r="A523" s="658">
        <v>44785</v>
      </c>
      <c r="B523" s="661">
        <v>3.85</v>
      </c>
      <c r="C523" s="661">
        <v>9054.14</v>
      </c>
      <c r="D523" s="664">
        <f t="shared" si="12"/>
        <v>2.365419089788981E-2</v>
      </c>
      <c r="E523" s="668">
        <f t="shared" si="13"/>
        <v>1.730118050827428E-2</v>
      </c>
    </row>
    <row r="524" spans="1:5" outlineLevel="2">
      <c r="A524" s="658">
        <v>44788</v>
      </c>
      <c r="B524" s="661">
        <v>3.77</v>
      </c>
      <c r="C524" s="661">
        <v>9090.36</v>
      </c>
      <c r="D524" s="664">
        <f t="shared" si="12"/>
        <v>-2.0998146839773468E-2</v>
      </c>
      <c r="E524" s="668">
        <f t="shared" si="13"/>
        <v>3.9923996924659619E-3</v>
      </c>
    </row>
    <row r="525" spans="1:5" outlineLevel="2">
      <c r="A525" s="658">
        <v>44789</v>
      </c>
      <c r="B525" s="661">
        <v>3.66</v>
      </c>
      <c r="C525" s="661">
        <v>9107.8700000000008</v>
      </c>
      <c r="D525" s="664">
        <f t="shared" si="12"/>
        <v>-2.9611854046644487E-2</v>
      </c>
      <c r="E525" s="668">
        <f t="shared" si="13"/>
        <v>1.9243635676162141E-3</v>
      </c>
    </row>
    <row r="526" spans="1:5" outlineLevel="2">
      <c r="A526" s="658">
        <v>44790</v>
      </c>
      <c r="B526" s="661">
        <v>3.57</v>
      </c>
      <c r="C526" s="661">
        <v>9043.59</v>
      </c>
      <c r="D526" s="664">
        <f t="shared" si="12"/>
        <v>-2.4897551621727201E-2</v>
      </c>
      <c r="E526" s="668">
        <f t="shared" si="13"/>
        <v>-7.0826554681164364E-3</v>
      </c>
    </row>
    <row r="527" spans="1:5" outlineLevel="2">
      <c r="A527" s="658">
        <v>44791</v>
      </c>
      <c r="B527" s="661">
        <v>3.51</v>
      </c>
      <c r="C527" s="661">
        <v>9065.49</v>
      </c>
      <c r="D527" s="664">
        <f t="shared" si="12"/>
        <v>-1.694955831377332E-2</v>
      </c>
      <c r="E527" s="668">
        <f t="shared" si="13"/>
        <v>2.4186773349334262E-3</v>
      </c>
    </row>
    <row r="528" spans="1:5" outlineLevel="2">
      <c r="A528" s="658">
        <v>44792</v>
      </c>
      <c r="B528" s="661">
        <v>3.44</v>
      </c>
      <c r="C528" s="661">
        <v>8948.82</v>
      </c>
      <c r="D528" s="664">
        <f t="shared" si="12"/>
        <v>-2.0144566092467463E-2</v>
      </c>
      <c r="E528" s="668">
        <f t="shared" si="13"/>
        <v>-1.2953216780783932E-2</v>
      </c>
    </row>
    <row r="529" spans="1:5" outlineLevel="2">
      <c r="A529" s="658">
        <v>44795</v>
      </c>
      <c r="B529" s="661">
        <v>3.4</v>
      </c>
      <c r="C529" s="661">
        <v>8758.24</v>
      </c>
      <c r="D529" s="664">
        <f t="shared" si="12"/>
        <v>-1.1696039763191298E-2</v>
      </c>
      <c r="E529" s="668">
        <f t="shared" si="13"/>
        <v>-2.1526708498695098E-2</v>
      </c>
    </row>
    <row r="530" spans="1:5" outlineLevel="2">
      <c r="A530" s="658">
        <v>44796</v>
      </c>
      <c r="B530" s="661">
        <v>3.47</v>
      </c>
      <c r="C530" s="661">
        <v>8738.76</v>
      </c>
      <c r="D530" s="664">
        <f t="shared" si="12"/>
        <v>2.0379162336652264E-2</v>
      </c>
      <c r="E530" s="668">
        <f t="shared" si="13"/>
        <v>-2.2266683486963849E-3</v>
      </c>
    </row>
    <row r="531" spans="1:5" outlineLevel="2">
      <c r="A531" s="658">
        <v>44797</v>
      </c>
      <c r="B531" s="661">
        <v>3.6</v>
      </c>
      <c r="C531" s="661">
        <v>8764.42</v>
      </c>
      <c r="D531" s="664">
        <f t="shared" si="12"/>
        <v>3.6779251503296487E-2</v>
      </c>
      <c r="E531" s="668">
        <f t="shared" si="13"/>
        <v>2.9320407357926286E-3</v>
      </c>
    </row>
    <row r="532" spans="1:5" outlineLevel="2">
      <c r="A532" s="658">
        <v>44798</v>
      </c>
      <c r="B532" s="661">
        <v>3.16</v>
      </c>
      <c r="C532" s="661">
        <v>8888.1299999999992</v>
      </c>
      <c r="D532" s="664">
        <f t="shared" si="12"/>
        <v>-0.13036181786324358</v>
      </c>
      <c r="E532" s="668">
        <f t="shared" si="13"/>
        <v>1.4016334785391252E-2</v>
      </c>
    </row>
    <row r="533" spans="1:5" outlineLevel="2">
      <c r="A533" s="658">
        <v>44799</v>
      </c>
      <c r="B533" s="661">
        <v>3.05</v>
      </c>
      <c r="C533" s="661">
        <v>8588.9500000000007</v>
      </c>
      <c r="D533" s="664">
        <f t="shared" si="12"/>
        <v>-3.5430436979500567E-2</v>
      </c>
      <c r="E533" s="668">
        <f t="shared" si="13"/>
        <v>-3.4240185325330505E-2</v>
      </c>
    </row>
    <row r="534" spans="1:5" outlineLevel="2">
      <c r="A534" s="658">
        <v>44802</v>
      </c>
      <c r="B534" s="661">
        <v>2.99</v>
      </c>
      <c r="C534" s="661">
        <v>8532.1</v>
      </c>
      <c r="D534" s="664">
        <f t="shared" si="12"/>
        <v>-1.9868203216725059E-2</v>
      </c>
      <c r="E534" s="668">
        <f t="shared" si="13"/>
        <v>-6.6409722459193571E-3</v>
      </c>
    </row>
    <row r="535" spans="1:5" outlineLevel="2">
      <c r="A535" s="658">
        <v>44803</v>
      </c>
      <c r="B535" s="661">
        <v>3.06</v>
      </c>
      <c r="C535" s="661">
        <v>8438.69</v>
      </c>
      <c r="D535" s="664">
        <f t="shared" si="12"/>
        <v>2.3141528561694331E-2</v>
      </c>
      <c r="E535" s="668">
        <f t="shared" si="13"/>
        <v>-1.1008437830862075E-2</v>
      </c>
    </row>
    <row r="536" spans="1:5" outlineLevel="2">
      <c r="A536" s="658">
        <v>44804</v>
      </c>
      <c r="B536" s="661">
        <v>2.85</v>
      </c>
      <c r="C536" s="661">
        <v>8374.42</v>
      </c>
      <c r="D536" s="664">
        <f t="shared" si="12"/>
        <v>-7.1095921683730218E-2</v>
      </c>
      <c r="E536" s="668">
        <f t="shared" si="13"/>
        <v>-7.6452617092610028E-3</v>
      </c>
    </row>
    <row r="537" spans="1:5" outlineLevel="2">
      <c r="A537" s="658">
        <v>44805</v>
      </c>
      <c r="B537" s="661">
        <v>2.87</v>
      </c>
      <c r="C537" s="661">
        <v>8400.9599999999991</v>
      </c>
      <c r="D537" s="664">
        <f t="shared" si="12"/>
        <v>6.9930354909706043E-3</v>
      </c>
      <c r="E537" s="668">
        <f t="shared" si="13"/>
        <v>3.164163451802354E-3</v>
      </c>
    </row>
    <row r="538" spans="1:5" outlineLevel="2">
      <c r="A538" s="658">
        <v>44806</v>
      </c>
      <c r="B538" s="661">
        <v>2.96</v>
      </c>
      <c r="C538" s="661">
        <v>8311.42</v>
      </c>
      <c r="D538" s="664">
        <f t="shared" si="12"/>
        <v>3.0877238564439229E-2</v>
      </c>
      <c r="E538" s="668">
        <f t="shared" si="13"/>
        <v>-1.0715512304455936E-2</v>
      </c>
    </row>
    <row r="539" spans="1:5" outlineLevel="2">
      <c r="A539" s="658">
        <v>44810</v>
      </c>
      <c r="B539" s="661">
        <v>2.9</v>
      </c>
      <c r="C539" s="661">
        <v>8277.81</v>
      </c>
      <c r="D539" s="664">
        <f t="shared" si="12"/>
        <v>-2.0478531343540676E-2</v>
      </c>
      <c r="E539" s="668">
        <f t="shared" si="13"/>
        <v>-4.0520320698151343E-3</v>
      </c>
    </row>
    <row r="540" spans="1:5" outlineLevel="2">
      <c r="A540" s="658">
        <v>44811</v>
      </c>
      <c r="B540" s="661">
        <v>3.06</v>
      </c>
      <c r="C540" s="661">
        <v>8429.8700000000008</v>
      </c>
      <c r="D540" s="664">
        <f t="shared" si="12"/>
        <v>5.3704178971861166E-2</v>
      </c>
      <c r="E540" s="668">
        <f t="shared" si="13"/>
        <v>1.8202910120624499E-2</v>
      </c>
    </row>
    <row r="541" spans="1:5" outlineLevel="2">
      <c r="A541" s="658">
        <v>44812</v>
      </c>
      <c r="B541" s="661">
        <v>3.09</v>
      </c>
      <c r="C541" s="661">
        <v>8486.6299999999992</v>
      </c>
      <c r="D541" s="664">
        <f t="shared" si="12"/>
        <v>9.7561749453646558E-3</v>
      </c>
      <c r="E541" s="668">
        <f t="shared" si="13"/>
        <v>6.7106331692755638E-3</v>
      </c>
    </row>
    <row r="542" spans="1:5" outlineLevel="2">
      <c r="A542" s="658">
        <v>44813</v>
      </c>
      <c r="B542" s="661">
        <v>3.15</v>
      </c>
      <c r="C542" s="661">
        <v>8616.98</v>
      </c>
      <c r="D542" s="664">
        <f t="shared" si="12"/>
        <v>1.9231361927887592E-2</v>
      </c>
      <c r="E542" s="668">
        <f t="shared" si="13"/>
        <v>1.5242691312483174E-2</v>
      </c>
    </row>
    <row r="543" spans="1:5" outlineLevel="2">
      <c r="A543" s="658">
        <v>44816</v>
      </c>
      <c r="B543" s="661">
        <v>3.38</v>
      </c>
      <c r="C543" s="661">
        <v>8708.17</v>
      </c>
      <c r="D543" s="664">
        <f t="shared" si="12"/>
        <v>7.0473256657385686E-2</v>
      </c>
      <c r="E543" s="668">
        <f t="shared" si="13"/>
        <v>1.0526990198557445E-2</v>
      </c>
    </row>
    <row r="544" spans="1:5" outlineLevel="2">
      <c r="A544" s="658">
        <v>44817</v>
      </c>
      <c r="B544" s="661">
        <v>3.09</v>
      </c>
      <c r="C544" s="661">
        <v>8331.9</v>
      </c>
      <c r="D544" s="664">
        <f t="shared" si="12"/>
        <v>-8.9704618585273316E-2</v>
      </c>
      <c r="E544" s="668">
        <f t="shared" si="13"/>
        <v>-4.4170144053713861E-2</v>
      </c>
    </row>
    <row r="545" spans="1:5" outlineLevel="2">
      <c r="A545" s="658">
        <v>44818</v>
      </c>
      <c r="B545" s="661">
        <v>3.05</v>
      </c>
      <c r="C545" s="661">
        <v>8362.4</v>
      </c>
      <c r="D545" s="664">
        <f t="shared" ref="D545:D608" si="14">LN(B545/B544)</f>
        <v>-1.3029500290333796E-2</v>
      </c>
      <c r="E545" s="668">
        <f t="shared" ref="E545:E608" si="15">LN(C545/C544)</f>
        <v>3.6539458299657463E-3</v>
      </c>
    </row>
    <row r="546" spans="1:5" outlineLevel="2">
      <c r="A546" s="658">
        <v>44819</v>
      </c>
      <c r="B546" s="661">
        <v>2.95</v>
      </c>
      <c r="C546" s="661">
        <v>8268.6</v>
      </c>
      <c r="D546" s="664">
        <f t="shared" si="14"/>
        <v>-3.3336420267591718E-2</v>
      </c>
      <c r="E546" s="668">
        <f t="shared" si="15"/>
        <v>-1.1280259109343089E-2</v>
      </c>
    </row>
    <row r="547" spans="1:5" outlineLevel="2">
      <c r="A547" s="658">
        <v>44820</v>
      </c>
      <c r="B547" s="661">
        <v>2.98</v>
      </c>
      <c r="C547" s="661">
        <v>8209.35</v>
      </c>
      <c r="D547" s="664">
        <f t="shared" si="14"/>
        <v>1.0118130165584466E-2</v>
      </c>
      <c r="E547" s="668">
        <f t="shared" si="15"/>
        <v>-7.1914595387063095E-3</v>
      </c>
    </row>
    <row r="548" spans="1:5" outlineLevel="2">
      <c r="A548" s="658">
        <v>44823</v>
      </c>
      <c r="B548" s="661">
        <v>3.14</v>
      </c>
      <c r="C548" s="661">
        <v>8265.73</v>
      </c>
      <c r="D548" s="664">
        <f t="shared" si="14"/>
        <v>5.2299499402849052E-2</v>
      </c>
      <c r="E548" s="668">
        <f t="shared" si="15"/>
        <v>6.8443030432420379E-3</v>
      </c>
    </row>
    <row r="549" spans="1:5" outlineLevel="2">
      <c r="A549" s="658">
        <v>44824</v>
      </c>
      <c r="B549" s="661">
        <v>2.95</v>
      </c>
      <c r="C549" s="661">
        <v>8172.64</v>
      </c>
      <c r="D549" s="664">
        <f t="shared" si="14"/>
        <v>-6.2417629568433525E-2</v>
      </c>
      <c r="E549" s="668">
        <f t="shared" si="15"/>
        <v>-1.1326061541066702E-2</v>
      </c>
    </row>
    <row r="550" spans="1:5" outlineLevel="2">
      <c r="A550" s="658">
        <v>44825</v>
      </c>
      <c r="B550" s="661">
        <v>2.84</v>
      </c>
      <c r="C550" s="661">
        <v>8033.29</v>
      </c>
      <c r="D550" s="664">
        <f t="shared" si="14"/>
        <v>-3.8001118178613867E-2</v>
      </c>
      <c r="E550" s="668">
        <f t="shared" si="15"/>
        <v>-1.7197832467406703E-2</v>
      </c>
    </row>
    <row r="551" spans="1:5" outlineLevel="2">
      <c r="A551" s="658">
        <v>44826</v>
      </c>
      <c r="B551" s="661">
        <v>2.7</v>
      </c>
      <c r="C551" s="661">
        <v>7965.96</v>
      </c>
      <c r="D551" s="664">
        <f t="shared" si="14"/>
        <v>-5.0552279162831212E-2</v>
      </c>
      <c r="E551" s="668">
        <f t="shared" si="15"/>
        <v>-8.4166942169319574E-3</v>
      </c>
    </row>
    <row r="552" spans="1:5" outlineLevel="2">
      <c r="A552" s="658">
        <v>44827</v>
      </c>
      <c r="B552" s="661">
        <v>2.75</v>
      </c>
      <c r="C552" s="661">
        <v>7828.87</v>
      </c>
      <c r="D552" s="664">
        <f t="shared" si="14"/>
        <v>1.8349138668196398E-2</v>
      </c>
      <c r="E552" s="668">
        <f t="shared" si="15"/>
        <v>-1.7359280548620841E-2</v>
      </c>
    </row>
    <row r="553" spans="1:5" outlineLevel="2">
      <c r="A553" s="658">
        <v>44830</v>
      </c>
      <c r="B553" s="661">
        <v>2.81</v>
      </c>
      <c r="C553" s="661">
        <v>7747.93</v>
      </c>
      <c r="D553" s="664">
        <f t="shared" si="14"/>
        <v>2.1583571667174391E-2</v>
      </c>
      <c r="E553" s="668">
        <f t="shared" si="15"/>
        <v>-1.039247194316084E-2</v>
      </c>
    </row>
    <row r="554" spans="1:5" outlineLevel="2">
      <c r="A554" s="658">
        <v>44831</v>
      </c>
      <c r="B554" s="661">
        <v>2.72</v>
      </c>
      <c r="C554" s="661">
        <v>7731.99</v>
      </c>
      <c r="D554" s="664">
        <f t="shared" si="14"/>
        <v>-3.2552603037748339E-2</v>
      </c>
      <c r="E554" s="668">
        <f t="shared" si="15"/>
        <v>-2.0594428955533089E-3</v>
      </c>
    </row>
    <row r="555" spans="1:5" outlineLevel="2">
      <c r="A555" s="658">
        <v>44832</v>
      </c>
      <c r="B555" s="661">
        <v>2.81</v>
      </c>
      <c r="C555" s="661">
        <v>7884.55</v>
      </c>
      <c r="D555" s="664">
        <f t="shared" si="14"/>
        <v>3.2552603037748332E-2</v>
      </c>
      <c r="E555" s="668">
        <f t="shared" si="15"/>
        <v>1.9538880380802356E-2</v>
      </c>
    </row>
    <row r="556" spans="1:5" outlineLevel="2">
      <c r="A556" s="658">
        <v>44833</v>
      </c>
      <c r="B556" s="661">
        <v>2.56</v>
      </c>
      <c r="C556" s="661">
        <v>7719.09</v>
      </c>
      <c r="D556" s="664">
        <f t="shared" si="14"/>
        <v>-9.3177224854183338E-2</v>
      </c>
      <c r="E556" s="668">
        <f t="shared" si="15"/>
        <v>-2.1208666958478544E-2</v>
      </c>
    </row>
    <row r="557" spans="1:5" outlineLevel="2">
      <c r="A557" s="658">
        <v>44834</v>
      </c>
      <c r="B557" s="661">
        <v>2.63</v>
      </c>
      <c r="C557" s="661">
        <v>7603.14</v>
      </c>
      <c r="D557" s="664">
        <f t="shared" si="14"/>
        <v>2.6976587698202076E-2</v>
      </c>
      <c r="E557" s="668">
        <f t="shared" si="15"/>
        <v>-1.5135161580335644E-2</v>
      </c>
    </row>
    <row r="558" spans="1:5" outlineLevel="2">
      <c r="A558" s="658">
        <v>44837</v>
      </c>
      <c r="B558" s="661">
        <v>2.7</v>
      </c>
      <c r="C558" s="661">
        <v>7800</v>
      </c>
      <c r="D558" s="664">
        <f t="shared" si="14"/>
        <v>2.626792682061032E-2</v>
      </c>
      <c r="E558" s="668">
        <f t="shared" si="15"/>
        <v>2.5562413834745393E-2</v>
      </c>
    </row>
    <row r="559" spans="1:5" outlineLevel="2">
      <c r="A559" s="658">
        <v>44838</v>
      </c>
      <c r="B559" s="661">
        <v>2.92</v>
      </c>
      <c r="C559" s="661">
        <v>8039.25</v>
      </c>
      <c r="D559" s="664">
        <f t="shared" si="14"/>
        <v>7.8331843269906998E-2</v>
      </c>
      <c r="E559" s="668">
        <f t="shared" si="15"/>
        <v>3.0212061562055501E-2</v>
      </c>
    </row>
    <row r="560" spans="1:5" outlineLevel="2">
      <c r="A560" s="658">
        <v>44839</v>
      </c>
      <c r="B560" s="661">
        <v>2.86</v>
      </c>
      <c r="C560" s="661">
        <v>8023.81</v>
      </c>
      <c r="D560" s="664">
        <f t="shared" si="14"/>
        <v>-2.0761991448429128E-2</v>
      </c>
      <c r="E560" s="668">
        <f t="shared" si="15"/>
        <v>-1.9224238414287575E-3</v>
      </c>
    </row>
    <row r="561" spans="1:5" outlineLevel="2">
      <c r="A561" s="658">
        <v>44840</v>
      </c>
      <c r="B561" s="661">
        <v>3.01</v>
      </c>
      <c r="C561" s="661">
        <v>7943.63</v>
      </c>
      <c r="D561" s="664">
        <f t="shared" si="14"/>
        <v>5.1118453929023193E-2</v>
      </c>
      <c r="E561" s="668">
        <f t="shared" si="15"/>
        <v>-1.0043021790223835E-2</v>
      </c>
    </row>
    <row r="562" spans="1:5" outlineLevel="2">
      <c r="A562" s="658">
        <v>44841</v>
      </c>
      <c r="B562" s="661">
        <v>2.81</v>
      </c>
      <c r="C562" s="661">
        <v>7721.44</v>
      </c>
      <c r="D562" s="664">
        <f t="shared" si="14"/>
        <v>-6.8755595415129836E-2</v>
      </c>
      <c r="E562" s="668">
        <f t="shared" si="15"/>
        <v>-2.8369474486131908E-2</v>
      </c>
    </row>
    <row r="563" spans="1:5" outlineLevel="2">
      <c r="A563" s="658">
        <v>44844</v>
      </c>
      <c r="B563" s="661">
        <v>2.68</v>
      </c>
      <c r="C563" s="661">
        <v>7663.58</v>
      </c>
      <c r="D563" s="664">
        <f t="shared" si="14"/>
        <v>-4.7367688822889047E-2</v>
      </c>
      <c r="E563" s="668">
        <f t="shared" si="15"/>
        <v>-7.52163764306995E-3</v>
      </c>
    </row>
    <row r="564" spans="1:5" outlineLevel="2">
      <c r="A564" s="658">
        <v>44845</v>
      </c>
      <c r="B564" s="661">
        <v>2.57</v>
      </c>
      <c r="C564" s="661">
        <v>7613.75</v>
      </c>
      <c r="D564" s="664">
        <f t="shared" si="14"/>
        <v>-4.1910895615636948E-2</v>
      </c>
      <c r="E564" s="668">
        <f t="shared" si="15"/>
        <v>-6.5234143281895978E-3</v>
      </c>
    </row>
    <row r="565" spans="1:5" outlineLevel="2">
      <c r="A565" s="658">
        <v>44846</v>
      </c>
      <c r="B565" s="661">
        <v>2.48</v>
      </c>
      <c r="C565" s="661">
        <v>7588.9</v>
      </c>
      <c r="D565" s="664">
        <f t="shared" si="14"/>
        <v>-3.5647338730237607E-2</v>
      </c>
      <c r="E565" s="668">
        <f t="shared" si="15"/>
        <v>-3.2691698002609102E-3</v>
      </c>
    </row>
    <row r="566" spans="1:5" outlineLevel="2">
      <c r="A566" s="658">
        <v>44847</v>
      </c>
      <c r="B566" s="661">
        <v>2.4700000000000002</v>
      </c>
      <c r="C566" s="661">
        <v>7786.96</v>
      </c>
      <c r="D566" s="664">
        <f t="shared" si="14"/>
        <v>-4.0404095370048633E-3</v>
      </c>
      <c r="E566" s="668">
        <f t="shared" si="15"/>
        <v>2.5763886446953797E-2</v>
      </c>
    </row>
    <row r="567" spans="1:5" outlineLevel="2">
      <c r="A567" s="658">
        <v>44848</v>
      </c>
      <c r="B567" s="661">
        <v>2.39</v>
      </c>
      <c r="C567" s="661">
        <v>7602.99</v>
      </c>
      <c r="D567" s="664">
        <f t="shared" si="14"/>
        <v>-3.2924784696466501E-2</v>
      </c>
      <c r="E567" s="668">
        <f t="shared" si="15"/>
        <v>-2.3908948840103684E-2</v>
      </c>
    </row>
    <row r="568" spans="1:5" outlineLevel="2">
      <c r="A568" s="658">
        <v>44851</v>
      </c>
      <c r="B568" s="661">
        <v>2.46</v>
      </c>
      <c r="C568" s="661">
        <v>7804.33</v>
      </c>
      <c r="D568" s="664">
        <f t="shared" si="14"/>
        <v>2.886798400085205E-2</v>
      </c>
      <c r="E568" s="668">
        <f t="shared" si="15"/>
        <v>2.6137116898866074E-2</v>
      </c>
    </row>
    <row r="569" spans="1:5" outlineLevel="2">
      <c r="A569" s="658">
        <v>44852</v>
      </c>
      <c r="B569" s="661">
        <v>2.5</v>
      </c>
      <c r="C569" s="661">
        <v>7893.68</v>
      </c>
      <c r="D569" s="664">
        <f t="shared" si="14"/>
        <v>1.6129381929883717E-2</v>
      </c>
      <c r="E569" s="668">
        <f t="shared" si="15"/>
        <v>1.1383731428194242E-2</v>
      </c>
    </row>
    <row r="570" spans="1:5" outlineLevel="2">
      <c r="A570" s="658">
        <v>44853</v>
      </c>
      <c r="B570" s="661">
        <v>2.38</v>
      </c>
      <c r="C570" s="661">
        <v>7840.99</v>
      </c>
      <c r="D570" s="664">
        <f t="shared" si="14"/>
        <v>-4.9190244190771781E-2</v>
      </c>
      <c r="E570" s="668">
        <f t="shared" si="15"/>
        <v>-6.6973374017673436E-3</v>
      </c>
    </row>
    <row r="571" spans="1:5" outlineLevel="2">
      <c r="A571" s="658">
        <v>44854</v>
      </c>
      <c r="B571" s="661">
        <v>2.38</v>
      </c>
      <c r="C571" s="661">
        <v>7779.53</v>
      </c>
      <c r="D571" s="664">
        <f t="shared" si="14"/>
        <v>0</v>
      </c>
      <c r="E571" s="668">
        <f t="shared" si="15"/>
        <v>-7.869176846029894E-3</v>
      </c>
    </row>
    <row r="572" spans="1:5" outlineLevel="2">
      <c r="A572" s="658">
        <v>44855</v>
      </c>
      <c r="B572" s="661">
        <v>2.36</v>
      </c>
      <c r="C572" s="661">
        <v>7964.25</v>
      </c>
      <c r="D572" s="664">
        <f t="shared" si="14"/>
        <v>-8.4388686458645949E-3</v>
      </c>
      <c r="E572" s="668">
        <f t="shared" si="15"/>
        <v>2.3466851915518089E-2</v>
      </c>
    </row>
    <row r="573" spans="1:5" outlineLevel="2">
      <c r="A573" s="658">
        <v>44858</v>
      </c>
      <c r="B573" s="661">
        <v>2.31</v>
      </c>
      <c r="C573" s="661">
        <v>8058.88</v>
      </c>
      <c r="D573" s="664">
        <f t="shared" si="14"/>
        <v>-2.1414094503816473E-2</v>
      </c>
      <c r="E573" s="668">
        <f t="shared" si="15"/>
        <v>1.1811812076700344E-2</v>
      </c>
    </row>
    <row r="574" spans="1:5" outlineLevel="2">
      <c r="A574" s="658">
        <v>44859</v>
      </c>
      <c r="B574" s="661">
        <v>2.4</v>
      </c>
      <c r="C574" s="661">
        <v>8190.02</v>
      </c>
      <c r="D574" s="664">
        <f t="shared" si="14"/>
        <v>3.8221212820197671E-2</v>
      </c>
      <c r="E574" s="668">
        <f t="shared" si="15"/>
        <v>1.6141750817810465E-2</v>
      </c>
    </row>
    <row r="575" spans="1:5" outlineLevel="2">
      <c r="A575" s="658">
        <v>44860</v>
      </c>
      <c r="B575" s="661">
        <v>2.52</v>
      </c>
      <c r="C575" s="661">
        <v>8129.62</v>
      </c>
      <c r="D575" s="664">
        <f t="shared" si="14"/>
        <v>4.8790164169432049E-2</v>
      </c>
      <c r="E575" s="668">
        <f t="shared" si="15"/>
        <v>-7.4021578644936177E-3</v>
      </c>
    </row>
    <row r="576" spans="1:5" outlineLevel="2">
      <c r="A576" s="658">
        <v>44861</v>
      </c>
      <c r="B576" s="661">
        <v>2.4700000000000002</v>
      </c>
      <c r="C576" s="661">
        <v>8080.32</v>
      </c>
      <c r="D576" s="664">
        <f t="shared" si="14"/>
        <v>-2.0040750883446038E-2</v>
      </c>
      <c r="E576" s="668">
        <f t="shared" si="15"/>
        <v>-6.0827062907610006E-3</v>
      </c>
    </row>
    <row r="577" spans="1:5" outlineLevel="2">
      <c r="A577" s="658">
        <v>44862</v>
      </c>
      <c r="B577" s="661">
        <v>2.54</v>
      </c>
      <c r="C577" s="661">
        <v>8280.11</v>
      </c>
      <c r="D577" s="664">
        <f t="shared" si="14"/>
        <v>2.7945930390559322E-2</v>
      </c>
      <c r="E577" s="668">
        <f t="shared" si="15"/>
        <v>2.4424777623894018E-2</v>
      </c>
    </row>
    <row r="578" spans="1:5" outlineLevel="2">
      <c r="A578" s="658">
        <v>44865</v>
      </c>
      <c r="B578" s="661">
        <v>2.6</v>
      </c>
      <c r="C578" s="661">
        <v>8218.7099999999991</v>
      </c>
      <c r="D578" s="664">
        <f t="shared" si="14"/>
        <v>2.3347363996991107E-2</v>
      </c>
      <c r="E578" s="668">
        <f t="shared" si="15"/>
        <v>-7.4429908870354763E-3</v>
      </c>
    </row>
    <row r="579" spans="1:5" outlineLevel="2">
      <c r="A579" s="658">
        <v>44866</v>
      </c>
      <c r="B579" s="661">
        <v>2.64</v>
      </c>
      <c r="C579" s="661">
        <v>8185.07</v>
      </c>
      <c r="D579" s="664">
        <f t="shared" si="14"/>
        <v>1.5267472130788381E-2</v>
      </c>
      <c r="E579" s="668">
        <f t="shared" si="15"/>
        <v>-4.1014994298257789E-3</v>
      </c>
    </row>
    <row r="580" spans="1:5" outlineLevel="2">
      <c r="A580" s="658">
        <v>44867</v>
      </c>
      <c r="B580" s="661">
        <v>2.71</v>
      </c>
      <c r="C580" s="661">
        <v>7980.47</v>
      </c>
      <c r="D580" s="664">
        <f t="shared" si="14"/>
        <v>2.6169717733384605E-2</v>
      </c>
      <c r="E580" s="668">
        <f t="shared" si="15"/>
        <v>-2.5314456045765914E-2</v>
      </c>
    </row>
    <row r="581" spans="1:5" outlineLevel="2">
      <c r="A581" s="658">
        <v>44868</v>
      </c>
      <c r="B581" s="661">
        <v>2.79</v>
      </c>
      <c r="C581" s="661">
        <v>7897.01</v>
      </c>
      <c r="D581" s="664">
        <f t="shared" si="14"/>
        <v>2.9092960941664772E-2</v>
      </c>
      <c r="E581" s="668">
        <f t="shared" si="15"/>
        <v>-1.0513100152148881E-2</v>
      </c>
    </row>
    <row r="582" spans="1:5" outlineLevel="2">
      <c r="A582" s="658">
        <v>44869</v>
      </c>
      <c r="B582" s="661">
        <v>2.83</v>
      </c>
      <c r="C582" s="661">
        <v>8006.24</v>
      </c>
      <c r="D582" s="664">
        <f t="shared" si="14"/>
        <v>1.423511582187191E-2</v>
      </c>
      <c r="E582" s="668">
        <f t="shared" si="15"/>
        <v>1.3737030819625568E-2</v>
      </c>
    </row>
    <row r="583" spans="1:5" outlineLevel="2">
      <c r="A583" s="658">
        <v>44872</v>
      </c>
      <c r="B583" s="661">
        <v>2.94</v>
      </c>
      <c r="C583" s="661">
        <v>8083.38</v>
      </c>
      <c r="D583" s="664">
        <f t="shared" si="14"/>
        <v>3.8132869695444035E-2</v>
      </c>
      <c r="E583" s="668">
        <f t="shared" si="15"/>
        <v>9.5888642566666314E-3</v>
      </c>
    </row>
    <row r="584" spans="1:5" outlineLevel="2">
      <c r="A584" s="658">
        <v>44873</v>
      </c>
      <c r="B584" s="661">
        <v>2.79</v>
      </c>
      <c r="C584" s="661">
        <v>8128.7</v>
      </c>
      <c r="D584" s="664">
        <f t="shared" si="14"/>
        <v>-5.2367985517315925E-2</v>
      </c>
      <c r="E584" s="668">
        <f t="shared" si="15"/>
        <v>5.5909072804855055E-3</v>
      </c>
    </row>
    <row r="585" spans="1:5" outlineLevel="2">
      <c r="A585" s="658">
        <v>44874</v>
      </c>
      <c r="B585" s="661">
        <v>2.59</v>
      </c>
      <c r="C585" s="661">
        <v>7961.52</v>
      </c>
      <c r="D585" s="664">
        <f t="shared" si="14"/>
        <v>-7.4383720121827895E-2</v>
      </c>
      <c r="E585" s="668">
        <f t="shared" si="15"/>
        <v>-2.078107277446066E-2</v>
      </c>
    </row>
    <row r="586" spans="1:5" outlineLevel="2">
      <c r="A586" s="658">
        <v>44875</v>
      </c>
      <c r="B586" s="661">
        <v>2.67</v>
      </c>
      <c r="C586" s="661">
        <v>8403.48</v>
      </c>
      <c r="D586" s="664">
        <f t="shared" si="14"/>
        <v>3.0420596700711719E-2</v>
      </c>
      <c r="E586" s="668">
        <f t="shared" si="15"/>
        <v>5.4025969370302469E-2</v>
      </c>
    </row>
    <row r="587" spans="1:5" outlineLevel="2">
      <c r="A587" s="658">
        <v>44876</v>
      </c>
      <c r="B587" s="661">
        <v>2.94</v>
      </c>
      <c r="C587" s="661">
        <v>8481.1299999999992</v>
      </c>
      <c r="D587" s="664">
        <f t="shared" si="14"/>
        <v>9.6331108938432108E-2</v>
      </c>
      <c r="E587" s="668">
        <f t="shared" si="15"/>
        <v>9.1977898722502959E-3</v>
      </c>
    </row>
    <row r="588" spans="1:5" outlineLevel="2">
      <c r="A588" s="658">
        <v>44879</v>
      </c>
      <c r="B588" s="661">
        <v>2.96</v>
      </c>
      <c r="C588" s="661">
        <v>8407.25</v>
      </c>
      <c r="D588" s="664">
        <f t="shared" si="14"/>
        <v>6.7796869853787691E-3</v>
      </c>
      <c r="E588" s="668">
        <f t="shared" si="15"/>
        <v>-8.7492668083259152E-3</v>
      </c>
    </row>
    <row r="589" spans="1:5" outlineLevel="2">
      <c r="A589" s="658">
        <v>44880</v>
      </c>
      <c r="B589" s="661">
        <v>3.13</v>
      </c>
      <c r="C589" s="661">
        <v>8481.14</v>
      </c>
      <c r="D589" s="664">
        <f t="shared" si="14"/>
        <v>5.5843736216092864E-2</v>
      </c>
      <c r="E589" s="668">
        <f t="shared" si="15"/>
        <v>8.7504458957947551E-3</v>
      </c>
    </row>
    <row r="590" spans="1:5" outlineLevel="2">
      <c r="A590" s="658">
        <v>44881</v>
      </c>
      <c r="B590" s="661">
        <v>3.15</v>
      </c>
      <c r="C590" s="661">
        <v>8413.09</v>
      </c>
      <c r="D590" s="664">
        <f t="shared" si="14"/>
        <v>6.3694482854799285E-3</v>
      </c>
      <c r="E590" s="668">
        <f t="shared" si="15"/>
        <v>-8.0560484894801679E-3</v>
      </c>
    </row>
    <row r="591" spans="1:5" outlineLevel="2">
      <c r="A591" s="658">
        <v>44882</v>
      </c>
      <c r="B591" s="661">
        <v>3.22</v>
      </c>
      <c r="C591" s="661">
        <v>8388.84</v>
      </c>
      <c r="D591" s="664">
        <f t="shared" si="14"/>
        <v>2.1978906718775382E-2</v>
      </c>
      <c r="E591" s="668">
        <f t="shared" si="15"/>
        <v>-2.8865751539518926E-3</v>
      </c>
    </row>
    <row r="592" spans="1:5" outlineLevel="2">
      <c r="A592" s="658">
        <v>44883</v>
      </c>
      <c r="B592" s="661">
        <v>3.21</v>
      </c>
      <c r="C592" s="661">
        <v>8429.01</v>
      </c>
      <c r="D592" s="664">
        <f t="shared" si="14"/>
        <v>-3.1104224143925024E-3</v>
      </c>
      <c r="E592" s="668">
        <f t="shared" si="15"/>
        <v>4.7770763077865505E-3</v>
      </c>
    </row>
    <row r="593" spans="1:5" outlineLevel="2">
      <c r="A593" s="658">
        <v>44886</v>
      </c>
      <c r="B593" s="661">
        <v>2.97</v>
      </c>
      <c r="C593" s="661">
        <v>8397.23</v>
      </c>
      <c r="D593" s="664">
        <f t="shared" si="14"/>
        <v>-7.7708984327316141E-2</v>
      </c>
      <c r="E593" s="668">
        <f t="shared" si="15"/>
        <v>-3.7774378339019152E-3</v>
      </c>
    </row>
    <row r="594" spans="1:5" outlineLevel="2">
      <c r="A594" s="658">
        <v>44887</v>
      </c>
      <c r="B594" s="661">
        <v>2.91</v>
      </c>
      <c r="C594" s="661">
        <v>8511.48</v>
      </c>
      <c r="D594" s="664">
        <f t="shared" si="14"/>
        <v>-2.0408871631207123E-2</v>
      </c>
      <c r="E594" s="668">
        <f t="shared" si="15"/>
        <v>1.3513950946547865E-2</v>
      </c>
    </row>
    <row r="595" spans="1:5" outlineLevel="2">
      <c r="A595" s="658">
        <v>44888</v>
      </c>
      <c r="B595" s="661">
        <v>2.95</v>
      </c>
      <c r="C595" s="661">
        <v>8562.27</v>
      </c>
      <c r="D595" s="664">
        <f t="shared" si="14"/>
        <v>1.3652089168327263E-2</v>
      </c>
      <c r="E595" s="668">
        <f t="shared" si="15"/>
        <v>5.9495014060628598E-3</v>
      </c>
    </row>
    <row r="596" spans="1:5" outlineLevel="2">
      <c r="A596" s="658">
        <v>44890</v>
      </c>
      <c r="B596" s="661">
        <v>2.96</v>
      </c>
      <c r="C596" s="661">
        <v>8560.09</v>
      </c>
      <c r="D596" s="664">
        <f t="shared" si="14"/>
        <v>3.3840979842404942E-3</v>
      </c>
      <c r="E596" s="668">
        <f t="shared" si="15"/>
        <v>-2.5463779663309244E-4</v>
      </c>
    </row>
    <row r="597" spans="1:5" outlineLevel="2">
      <c r="A597" s="658">
        <v>44893</v>
      </c>
      <c r="B597" s="661">
        <v>2.8</v>
      </c>
      <c r="C597" s="661">
        <v>8427.9500000000007</v>
      </c>
      <c r="D597" s="664">
        <f t="shared" si="14"/>
        <v>-5.5569851154810765E-2</v>
      </c>
      <c r="E597" s="668">
        <f t="shared" si="15"/>
        <v>-1.5557140798326081E-2</v>
      </c>
    </row>
    <row r="598" spans="1:5" outlineLevel="2">
      <c r="A598" s="658">
        <v>44894</v>
      </c>
      <c r="B598" s="661">
        <v>2.83</v>
      </c>
      <c r="C598" s="661">
        <v>8415.27</v>
      </c>
      <c r="D598" s="664">
        <f t="shared" si="14"/>
        <v>1.0657294473988199E-2</v>
      </c>
      <c r="E598" s="668">
        <f t="shared" si="15"/>
        <v>-1.5056506292082425E-3</v>
      </c>
    </row>
    <row r="599" spans="1:5" outlineLevel="2">
      <c r="A599" s="658">
        <v>44895</v>
      </c>
      <c r="B599" s="661">
        <v>3.02</v>
      </c>
      <c r="C599" s="661">
        <v>8678</v>
      </c>
      <c r="D599" s="664">
        <f t="shared" si="14"/>
        <v>6.4980119731632049E-2</v>
      </c>
      <c r="E599" s="668">
        <f t="shared" si="15"/>
        <v>3.0743174686622975E-2</v>
      </c>
    </row>
    <row r="600" spans="1:5" outlineLevel="2">
      <c r="A600" s="658">
        <v>44896</v>
      </c>
      <c r="B600" s="661">
        <v>3.07</v>
      </c>
      <c r="C600" s="661">
        <v>8671.9</v>
      </c>
      <c r="D600" s="664">
        <f t="shared" si="14"/>
        <v>1.642073021232749E-2</v>
      </c>
      <c r="E600" s="668">
        <f t="shared" si="15"/>
        <v>-7.0317411066900487E-4</v>
      </c>
    </row>
    <row r="601" spans="1:5" outlineLevel="2">
      <c r="A601" s="658">
        <v>44897</v>
      </c>
      <c r="B601" s="661">
        <v>3.16</v>
      </c>
      <c r="C601" s="661">
        <v>8662.23</v>
      </c>
      <c r="D601" s="664">
        <f t="shared" si="14"/>
        <v>2.8894465999714972E-2</v>
      </c>
      <c r="E601" s="668">
        <f t="shared" si="15"/>
        <v>-1.1157180663953793E-3</v>
      </c>
    </row>
    <row r="602" spans="1:5" outlineLevel="2">
      <c r="A602" s="658">
        <v>44900</v>
      </c>
      <c r="B602" s="661">
        <v>3.1</v>
      </c>
      <c r="C602" s="661">
        <v>8507.34</v>
      </c>
      <c r="D602" s="664">
        <f t="shared" si="14"/>
        <v>-1.9169916107720172E-2</v>
      </c>
      <c r="E602" s="668">
        <f t="shared" si="15"/>
        <v>-1.804287491808081E-2</v>
      </c>
    </row>
    <row r="603" spans="1:5" outlineLevel="2">
      <c r="A603" s="658">
        <v>44901</v>
      </c>
      <c r="B603" s="661">
        <v>3.01</v>
      </c>
      <c r="C603" s="661">
        <v>8385.16</v>
      </c>
      <c r="D603" s="664">
        <f t="shared" si="14"/>
        <v>-2.9462032730316334E-2</v>
      </c>
      <c r="E603" s="668">
        <f t="shared" si="15"/>
        <v>-1.4465843494394602E-2</v>
      </c>
    </row>
    <row r="604" spans="1:5" outlineLevel="2">
      <c r="A604" s="658">
        <v>44902</v>
      </c>
      <c r="B604" s="661">
        <v>2.94</v>
      </c>
      <c r="C604" s="661">
        <v>8369.74</v>
      </c>
      <c r="D604" s="664">
        <f t="shared" si="14"/>
        <v>-2.3530497410194046E-2</v>
      </c>
      <c r="E604" s="668">
        <f t="shared" si="15"/>
        <v>-1.8406560890962178E-3</v>
      </c>
    </row>
    <row r="605" spans="1:5" outlineLevel="2">
      <c r="A605" s="658">
        <v>44903</v>
      </c>
      <c r="B605" s="661">
        <v>3.06</v>
      </c>
      <c r="C605" s="661">
        <v>8433.9</v>
      </c>
      <c r="D605" s="664">
        <f t="shared" si="14"/>
        <v>4.0005334613699206E-2</v>
      </c>
      <c r="E605" s="668">
        <f t="shared" si="15"/>
        <v>7.63647778633711E-3</v>
      </c>
    </row>
    <row r="606" spans="1:5" outlineLevel="2">
      <c r="A606" s="658">
        <v>44904</v>
      </c>
      <c r="B606" s="661">
        <v>3.02</v>
      </c>
      <c r="C606" s="661">
        <v>8372.26</v>
      </c>
      <c r="D606" s="664">
        <f t="shared" si="14"/>
        <v>-1.3158084577511199E-2</v>
      </c>
      <c r="E606" s="668">
        <f t="shared" si="15"/>
        <v>-7.3354384817102807E-3</v>
      </c>
    </row>
    <row r="607" spans="1:5" outlineLevel="2">
      <c r="A607" s="658">
        <v>44907</v>
      </c>
      <c r="B607" s="661">
        <v>3.15</v>
      </c>
      <c r="C607" s="661">
        <v>8491.86</v>
      </c>
      <c r="D607" s="664">
        <f t="shared" si="14"/>
        <v>4.2145621450763317E-2</v>
      </c>
      <c r="E607" s="668">
        <f t="shared" si="15"/>
        <v>1.4184197598393428E-2</v>
      </c>
    </row>
    <row r="608" spans="1:5" outlineLevel="2">
      <c r="A608" s="658">
        <v>44908</v>
      </c>
      <c r="B608" s="661">
        <v>3.22</v>
      </c>
      <c r="C608" s="661">
        <v>8554.1</v>
      </c>
      <c r="D608" s="664">
        <f t="shared" si="14"/>
        <v>2.1978906718775382E-2</v>
      </c>
      <c r="E608" s="668">
        <f t="shared" si="15"/>
        <v>7.3026425730632156E-3</v>
      </c>
    </row>
    <row r="609" spans="1:5" outlineLevel="2">
      <c r="A609" s="658">
        <v>44909</v>
      </c>
      <c r="B609" s="661">
        <v>3.31</v>
      </c>
      <c r="C609" s="661">
        <v>8503.9699999999993</v>
      </c>
      <c r="D609" s="664">
        <f t="shared" ref="D609:D662" si="16">LN(B609/B608)</f>
        <v>2.7566829832654592E-2</v>
      </c>
      <c r="E609" s="668">
        <f t="shared" ref="E609:E662" si="17">LN(C609/C608)</f>
        <v>-5.8775868918287261E-3</v>
      </c>
    </row>
    <row r="610" spans="1:5" outlineLevel="2">
      <c r="A610" s="658">
        <v>44910</v>
      </c>
      <c r="B610" s="661">
        <v>3.2</v>
      </c>
      <c r="C610" s="661">
        <v>8292.64</v>
      </c>
      <c r="D610" s="664">
        <f t="shared" si="16"/>
        <v>-3.3797379583290613E-2</v>
      </c>
      <c r="E610" s="668">
        <f t="shared" si="17"/>
        <v>-2.5164738859864862E-2</v>
      </c>
    </row>
    <row r="611" spans="1:5" outlineLevel="2">
      <c r="A611" s="658">
        <v>44911</v>
      </c>
      <c r="B611" s="661">
        <v>3.19</v>
      </c>
      <c r="C611" s="661">
        <v>8200.9</v>
      </c>
      <c r="D611" s="664">
        <f t="shared" si="16"/>
        <v>-3.1298930089277044E-3</v>
      </c>
      <c r="E611" s="668">
        <f t="shared" si="17"/>
        <v>-1.1124470076904478E-2</v>
      </c>
    </row>
    <row r="612" spans="1:5" outlineLevel="2">
      <c r="A612" s="658">
        <v>44914</v>
      </c>
      <c r="B612" s="661">
        <v>3.01</v>
      </c>
      <c r="C612" s="661">
        <v>8127.57</v>
      </c>
      <c r="D612" s="664">
        <f t="shared" si="16"/>
        <v>-5.8080838035968918E-2</v>
      </c>
      <c r="E612" s="668">
        <f t="shared" si="17"/>
        <v>-8.9819184516314494E-3</v>
      </c>
    </row>
    <row r="613" spans="1:5" outlineLevel="2">
      <c r="A613" s="658">
        <v>44915</v>
      </c>
      <c r="B613" s="661">
        <v>2.99</v>
      </c>
      <c r="C613" s="661">
        <v>8136.3</v>
      </c>
      <c r="D613" s="664">
        <f t="shared" si="16"/>
        <v>-6.6666913581891222E-3</v>
      </c>
      <c r="E613" s="668">
        <f t="shared" si="17"/>
        <v>1.073545329425777E-3</v>
      </c>
    </row>
    <row r="614" spans="1:5" outlineLevel="2">
      <c r="A614" s="658">
        <v>44916</v>
      </c>
      <c r="B614" s="661">
        <v>3.12</v>
      </c>
      <c r="C614" s="661">
        <v>8258.43</v>
      </c>
      <c r="D614" s="664">
        <f t="shared" si="16"/>
        <v>4.2559614418795903E-2</v>
      </c>
      <c r="E614" s="668">
        <f t="shared" si="17"/>
        <v>1.4898965604765193E-2</v>
      </c>
    </row>
    <row r="615" spans="1:5" outlineLevel="2">
      <c r="A615" s="658">
        <v>44917</v>
      </c>
      <c r="B615" s="661">
        <v>3.06</v>
      </c>
      <c r="C615" s="661">
        <v>8139.07</v>
      </c>
      <c r="D615" s="664">
        <f t="shared" si="16"/>
        <v>-1.9418085857101627E-2</v>
      </c>
      <c r="E615" s="668">
        <f t="shared" si="17"/>
        <v>-1.455857395446848E-2</v>
      </c>
    </row>
    <row r="616" spans="1:5" outlineLevel="2">
      <c r="A616" s="658">
        <v>44918</v>
      </c>
      <c r="B616" s="661">
        <v>3.27</v>
      </c>
      <c r="C616" s="661">
        <v>8187.06</v>
      </c>
      <c r="D616" s="664">
        <f t="shared" si="16"/>
        <v>6.6375068944872592E-2</v>
      </c>
      <c r="E616" s="668">
        <f t="shared" si="17"/>
        <v>5.8789361861853098E-3</v>
      </c>
    </row>
    <row r="617" spans="1:5" outlineLevel="2">
      <c r="A617" s="658">
        <v>44922</v>
      </c>
      <c r="B617" s="661">
        <v>3.3</v>
      </c>
      <c r="C617" s="661">
        <v>8154.57</v>
      </c>
      <c r="D617" s="664">
        <f t="shared" si="16"/>
        <v>9.1324835632724723E-3</v>
      </c>
      <c r="E617" s="668">
        <f t="shared" si="17"/>
        <v>-3.9763527639904541E-3</v>
      </c>
    </row>
    <row r="618" spans="1:5" outlineLevel="2">
      <c r="A618" s="658">
        <v>44923</v>
      </c>
      <c r="B618" s="661">
        <v>3.15</v>
      </c>
      <c r="C618" s="661">
        <v>8056.62</v>
      </c>
      <c r="D618" s="664">
        <f t="shared" si="16"/>
        <v>-4.6520015634892817E-2</v>
      </c>
      <c r="E618" s="668">
        <f t="shared" si="17"/>
        <v>-1.2084392569297775E-2</v>
      </c>
    </row>
    <row r="619" spans="1:5" outlineLevel="2">
      <c r="A619" s="658">
        <v>44924</v>
      </c>
      <c r="B619" s="661">
        <v>3.21</v>
      </c>
      <c r="C619" s="661">
        <v>8198.36</v>
      </c>
      <c r="D619" s="664">
        <f t="shared" si="16"/>
        <v>1.8868484304382736E-2</v>
      </c>
      <c r="E619" s="668">
        <f t="shared" si="17"/>
        <v>1.7440020541543678E-2</v>
      </c>
    </row>
    <row r="620" spans="1:5" outlineLevel="2">
      <c r="A620" s="658">
        <v>44925</v>
      </c>
      <c r="B620" s="661">
        <v>3.22</v>
      </c>
      <c r="C620" s="661">
        <v>8178.02</v>
      </c>
      <c r="D620" s="664">
        <f t="shared" si="16"/>
        <v>3.1104224143925518E-3</v>
      </c>
      <c r="E620" s="668">
        <f t="shared" si="17"/>
        <v>-2.4840667423624749E-3</v>
      </c>
    </row>
    <row r="621" spans="1:5" outlineLevel="2">
      <c r="A621" s="658">
        <v>44929</v>
      </c>
      <c r="B621" s="661">
        <v>3.46</v>
      </c>
      <c r="C621" s="661">
        <v>8145.6</v>
      </c>
      <c r="D621" s="664">
        <f t="shared" si="16"/>
        <v>7.1887229513315873E-2</v>
      </c>
      <c r="E621" s="668">
        <f t="shared" si="17"/>
        <v>-3.9721633592434327E-3</v>
      </c>
    </row>
    <row r="622" spans="1:5" outlineLevel="2">
      <c r="A622" s="658">
        <v>44930</v>
      </c>
      <c r="B622" s="661">
        <v>3.5</v>
      </c>
      <c r="C622" s="661">
        <v>8207.42</v>
      </c>
      <c r="D622" s="664">
        <f t="shared" si="16"/>
        <v>1.1494379425735212E-2</v>
      </c>
      <c r="E622" s="668">
        <f t="shared" si="17"/>
        <v>7.5607189977170723E-3</v>
      </c>
    </row>
    <row r="623" spans="1:5" outlineLevel="2">
      <c r="A623" s="658">
        <v>44931</v>
      </c>
      <c r="B623" s="661">
        <v>3.48</v>
      </c>
      <c r="C623" s="661">
        <v>8113.15</v>
      </c>
      <c r="D623" s="664">
        <f t="shared" si="16"/>
        <v>-5.7306747089849834E-3</v>
      </c>
      <c r="E623" s="668">
        <f t="shared" si="17"/>
        <v>-1.1552421076576764E-2</v>
      </c>
    </row>
    <row r="624" spans="1:5" outlineLevel="2">
      <c r="A624" s="658">
        <v>44932</v>
      </c>
      <c r="B624" s="661">
        <v>3.47</v>
      </c>
      <c r="C624" s="661">
        <v>8298.61</v>
      </c>
      <c r="D624" s="664">
        <f t="shared" si="16"/>
        <v>-2.8776998276150581E-3</v>
      </c>
      <c r="E624" s="668">
        <f t="shared" si="17"/>
        <v>2.2601828811313267E-2</v>
      </c>
    </row>
    <row r="625" spans="1:5" outlineLevel="2">
      <c r="A625" s="658">
        <v>44935</v>
      </c>
      <c r="B625" s="661">
        <v>3.72</v>
      </c>
      <c r="C625" s="661">
        <v>8293.7999999999993</v>
      </c>
      <c r="D625" s="664">
        <f t="shared" si="16"/>
        <v>6.9569074326287297E-2</v>
      </c>
      <c r="E625" s="668">
        <f t="shared" si="17"/>
        <v>-5.7978318215873769E-4</v>
      </c>
    </row>
    <row r="626" spans="1:5" outlineLevel="2">
      <c r="A626" s="658">
        <v>44936</v>
      </c>
      <c r="B626" s="661">
        <v>3.72</v>
      </c>
      <c r="C626" s="661">
        <v>8351.68</v>
      </c>
      <c r="D626" s="664">
        <f t="shared" si="16"/>
        <v>0</v>
      </c>
      <c r="E626" s="668">
        <f t="shared" si="17"/>
        <v>6.9544685138015492E-3</v>
      </c>
    </row>
    <row r="627" spans="1:5" outlineLevel="2">
      <c r="A627" s="658">
        <v>44937</v>
      </c>
      <c r="B627" s="661">
        <v>3.61</v>
      </c>
      <c r="C627" s="661">
        <v>8459.18</v>
      </c>
      <c r="D627" s="664">
        <f t="shared" si="16"/>
        <v>-3.0015895940265724E-2</v>
      </c>
      <c r="E627" s="668">
        <f t="shared" si="17"/>
        <v>1.2789525976455602E-2</v>
      </c>
    </row>
    <row r="628" spans="1:5" outlineLevel="2">
      <c r="A628" s="658">
        <v>44938</v>
      </c>
      <c r="B628" s="661">
        <v>3.61</v>
      </c>
      <c r="C628" s="661">
        <v>8489.08</v>
      </c>
      <c r="D628" s="664">
        <f t="shared" si="16"/>
        <v>0</v>
      </c>
      <c r="E628" s="668">
        <f t="shared" si="17"/>
        <v>3.5283894653585059E-3</v>
      </c>
    </row>
    <row r="629" spans="1:5" outlineLevel="2">
      <c r="A629" s="658">
        <v>44939</v>
      </c>
      <c r="B629" s="661">
        <v>3.58</v>
      </c>
      <c r="C629" s="661">
        <v>8523.32</v>
      </c>
      <c r="D629" s="664">
        <f t="shared" si="16"/>
        <v>-8.3449719321805338E-3</v>
      </c>
      <c r="E629" s="668">
        <f t="shared" si="17"/>
        <v>4.025304628714187E-3</v>
      </c>
    </row>
    <row r="630" spans="1:5" outlineLevel="2">
      <c r="A630" s="658">
        <v>44943</v>
      </c>
      <c r="B630" s="661">
        <v>3.97</v>
      </c>
      <c r="C630" s="661">
        <v>8506.0300000000007</v>
      </c>
      <c r="D630" s="664">
        <f t="shared" si="16"/>
        <v>0.10340329428649019</v>
      </c>
      <c r="E630" s="668">
        <f t="shared" si="17"/>
        <v>-2.0306125531641028E-3</v>
      </c>
    </row>
    <row r="631" spans="1:5" outlineLevel="2">
      <c r="A631" s="658">
        <v>44944</v>
      </c>
      <c r="B631" s="661">
        <v>3.71</v>
      </c>
      <c r="C631" s="661">
        <v>8373.66</v>
      </c>
      <c r="D631" s="664">
        <f t="shared" si="16"/>
        <v>-6.7734218079755326E-2</v>
      </c>
      <c r="E631" s="668">
        <f t="shared" si="17"/>
        <v>-1.568425883763027E-2</v>
      </c>
    </row>
    <row r="632" spans="1:5" outlineLevel="2">
      <c r="A632" s="658">
        <v>44945</v>
      </c>
      <c r="B632" s="661">
        <v>3.59</v>
      </c>
      <c r="C632" s="661">
        <v>8310.75</v>
      </c>
      <c r="D632" s="664">
        <f t="shared" si="16"/>
        <v>-3.2879674119156273E-2</v>
      </c>
      <c r="E632" s="668">
        <f t="shared" si="17"/>
        <v>-7.5412074073571162E-3</v>
      </c>
    </row>
    <row r="633" spans="1:5" outlineLevel="2">
      <c r="A633" s="658">
        <v>44946</v>
      </c>
      <c r="B633" s="661">
        <v>3.68</v>
      </c>
      <c r="C633" s="661">
        <v>8468.15</v>
      </c>
      <c r="D633" s="664">
        <f t="shared" si="16"/>
        <v>2.4760549680652118E-2</v>
      </c>
      <c r="E633" s="668">
        <f t="shared" si="17"/>
        <v>1.8762209359191498E-2</v>
      </c>
    </row>
    <row r="634" spans="1:5" outlineLevel="2">
      <c r="A634" s="658">
        <v>44949</v>
      </c>
      <c r="B634" s="661">
        <v>3.74</v>
      </c>
      <c r="C634" s="661">
        <v>8568.77</v>
      </c>
      <c r="D634" s="664">
        <f t="shared" si="16"/>
        <v>1.6172859245600968E-2</v>
      </c>
      <c r="E634" s="668">
        <f t="shared" si="17"/>
        <v>1.181213152689267E-2</v>
      </c>
    </row>
    <row r="635" spans="1:5" outlineLevel="2">
      <c r="A635" s="658">
        <v>44950</v>
      </c>
      <c r="B635" s="661">
        <v>3.6</v>
      </c>
      <c r="C635" s="661">
        <v>8562.8700000000008</v>
      </c>
      <c r="D635" s="664">
        <f t="shared" si="16"/>
        <v>-3.8151765964376291E-2</v>
      </c>
      <c r="E635" s="668">
        <f t="shared" si="17"/>
        <v>-6.8878405491340164E-4</v>
      </c>
    </row>
    <row r="636" spans="1:5" outlineLevel="2">
      <c r="A636" s="658">
        <v>44951</v>
      </c>
      <c r="B636" s="661">
        <v>3.68</v>
      </c>
      <c r="C636" s="661">
        <v>8561.4</v>
      </c>
      <c r="D636" s="664">
        <f t="shared" si="16"/>
        <v>2.1978906718775167E-2</v>
      </c>
      <c r="E636" s="668">
        <f t="shared" si="17"/>
        <v>-1.7168615113078919E-4</v>
      </c>
    </row>
    <row r="637" spans="1:5" outlineLevel="2">
      <c r="A637" s="658">
        <v>44952</v>
      </c>
      <c r="B637" s="661">
        <v>3.63</v>
      </c>
      <c r="C637" s="661">
        <v>8656.26</v>
      </c>
      <c r="D637" s="664">
        <f t="shared" si="16"/>
        <v>-1.3680103904080266E-2</v>
      </c>
      <c r="E637" s="668">
        <f t="shared" si="17"/>
        <v>1.1019030439154309E-2</v>
      </c>
    </row>
    <row r="638" spans="1:5" outlineLevel="2">
      <c r="A638" s="658">
        <v>44953</v>
      </c>
      <c r="B638" s="661">
        <v>3.71</v>
      </c>
      <c r="C638" s="661">
        <v>8678.01</v>
      </c>
      <c r="D638" s="664">
        <f t="shared" si="16"/>
        <v>2.1799228342584361E-2</v>
      </c>
      <c r="E638" s="668">
        <f t="shared" si="17"/>
        <v>2.5094810931420653E-3</v>
      </c>
    </row>
    <row r="639" spans="1:5" outlineLevel="2">
      <c r="A639" s="658">
        <v>44956</v>
      </c>
      <c r="B639" s="661">
        <v>3.71</v>
      </c>
      <c r="C639" s="661">
        <v>8566.2800000000007</v>
      </c>
      <c r="D639" s="664">
        <f t="shared" si="16"/>
        <v>0</v>
      </c>
      <c r="E639" s="668">
        <f t="shared" si="17"/>
        <v>-1.2958673687117957E-2</v>
      </c>
    </row>
    <row r="640" spans="1:5" outlineLevel="2">
      <c r="A640" s="658">
        <v>44957</v>
      </c>
      <c r="B640" s="661">
        <v>3.79</v>
      </c>
      <c r="C640" s="661">
        <v>8691.8799999999992</v>
      </c>
      <c r="D640" s="664">
        <f t="shared" si="16"/>
        <v>2.1334142474991141E-2</v>
      </c>
      <c r="E640" s="668">
        <f t="shared" si="17"/>
        <v>1.4555690472821122E-2</v>
      </c>
    </row>
    <row r="641" spans="1:5" outlineLevel="2">
      <c r="A641" s="658">
        <v>44958</v>
      </c>
      <c r="B641" s="661">
        <v>3.72</v>
      </c>
      <c r="C641" s="661">
        <v>8782.77</v>
      </c>
      <c r="D641" s="664">
        <f t="shared" si="16"/>
        <v>-1.8642350809279718E-2</v>
      </c>
      <c r="E641" s="668">
        <f t="shared" si="17"/>
        <v>1.0402591139582834E-2</v>
      </c>
    </row>
    <row r="642" spans="1:5" outlineLevel="2">
      <c r="A642" s="658">
        <v>44959</v>
      </c>
      <c r="B642" s="661">
        <v>3.63</v>
      </c>
      <c r="C642" s="661">
        <v>8912.35</v>
      </c>
      <c r="D642" s="664">
        <f t="shared" si="16"/>
        <v>-2.449102000829587E-2</v>
      </c>
      <c r="E642" s="668">
        <f t="shared" si="17"/>
        <v>1.4646107664223623E-2</v>
      </c>
    </row>
    <row r="643" spans="1:5" outlineLevel="2">
      <c r="A643" s="658">
        <v>44960</v>
      </c>
      <c r="B643" s="661">
        <v>3.55</v>
      </c>
      <c r="C643" s="661">
        <v>8820.4699999999993</v>
      </c>
      <c r="D643" s="664">
        <f t="shared" si="16"/>
        <v>-2.2285044789434983E-2</v>
      </c>
      <c r="E643" s="668">
        <f t="shared" si="17"/>
        <v>-1.0362798723448032E-2</v>
      </c>
    </row>
    <row r="644" spans="1:5" outlineLevel="2">
      <c r="A644" s="658">
        <v>44963</v>
      </c>
      <c r="B644" s="661">
        <v>3.46</v>
      </c>
      <c r="C644" s="661">
        <v>8766.9</v>
      </c>
      <c r="D644" s="664">
        <f t="shared" si="16"/>
        <v>-2.5679014417691506E-2</v>
      </c>
      <c r="E644" s="668">
        <f t="shared" si="17"/>
        <v>-6.0918904498129967E-3</v>
      </c>
    </row>
    <row r="645" spans="1:5" outlineLevel="2">
      <c r="A645" s="658">
        <v>44964</v>
      </c>
      <c r="B645" s="661">
        <v>3.5</v>
      </c>
      <c r="C645" s="661">
        <v>8879.91</v>
      </c>
      <c r="D645" s="664">
        <f t="shared" si="16"/>
        <v>1.1494379425735212E-2</v>
      </c>
      <c r="E645" s="668">
        <f t="shared" si="17"/>
        <v>1.2808155686590449E-2</v>
      </c>
    </row>
    <row r="646" spans="1:5" outlineLevel="2">
      <c r="A646" s="658">
        <v>44965</v>
      </c>
      <c r="B646" s="661">
        <v>3.61</v>
      </c>
      <c r="C646" s="661">
        <v>8781.7900000000009</v>
      </c>
      <c r="D646" s="664">
        <f t="shared" si="16"/>
        <v>3.0944803849421491E-2</v>
      </c>
      <c r="E646" s="668">
        <f t="shared" si="17"/>
        <v>-1.1111162512360943E-2</v>
      </c>
    </row>
    <row r="647" spans="1:5" outlineLevel="2">
      <c r="A647" s="658">
        <v>44966</v>
      </c>
      <c r="B647" s="661">
        <v>3.44</v>
      </c>
      <c r="C647" s="661">
        <v>8705.58</v>
      </c>
      <c r="D647" s="664">
        <f t="shared" si="16"/>
        <v>-4.8236300959482566E-2</v>
      </c>
      <c r="E647" s="668">
        <f t="shared" si="17"/>
        <v>-8.7160599301436478E-3</v>
      </c>
    </row>
    <row r="648" spans="1:5" outlineLevel="2">
      <c r="A648" s="658">
        <v>44967</v>
      </c>
      <c r="B648" s="661">
        <v>3.33</v>
      </c>
      <c r="C648" s="661">
        <v>8726.4699999999993</v>
      </c>
      <c r="D648" s="664">
        <f t="shared" si="16"/>
        <v>-3.249916739295447E-2</v>
      </c>
      <c r="E648" s="668">
        <f t="shared" si="17"/>
        <v>2.3967358973778748E-3</v>
      </c>
    </row>
    <row r="649" spans="1:5" outlineLevel="2">
      <c r="A649" s="658">
        <v>44970</v>
      </c>
      <c r="B649" s="661">
        <v>3.37</v>
      </c>
      <c r="C649" s="661">
        <v>8827.7199999999993</v>
      </c>
      <c r="D649" s="664">
        <f t="shared" si="16"/>
        <v>1.1940440371917849E-2</v>
      </c>
      <c r="E649" s="668">
        <f t="shared" si="17"/>
        <v>1.1535835355777587E-2</v>
      </c>
    </row>
    <row r="650" spans="1:5" outlineLevel="2">
      <c r="A650" s="658">
        <v>44971</v>
      </c>
      <c r="B650" s="661">
        <v>3.48</v>
      </c>
      <c r="C650" s="661">
        <v>8826.32</v>
      </c>
      <c r="D650" s="664">
        <f t="shared" si="16"/>
        <v>3.2119549422112523E-2</v>
      </c>
      <c r="E650" s="668">
        <f t="shared" si="17"/>
        <v>-1.5860392328719399E-4</v>
      </c>
    </row>
    <row r="651" spans="1:5" outlineLevel="2">
      <c r="A651" s="658">
        <v>44972</v>
      </c>
      <c r="B651" s="661">
        <v>3.68</v>
      </c>
      <c r="C651" s="661">
        <v>8853.02</v>
      </c>
      <c r="D651" s="664">
        <f t="shared" si="16"/>
        <v>5.5880458394456628E-2</v>
      </c>
      <c r="E651" s="668">
        <f t="shared" si="17"/>
        <v>3.0204770426157171E-3</v>
      </c>
    </row>
    <row r="652" spans="1:5" outlineLevel="2">
      <c r="A652" s="658">
        <v>44973</v>
      </c>
      <c r="B652" s="661">
        <v>3.67</v>
      </c>
      <c r="C652" s="661">
        <v>8731.75</v>
      </c>
      <c r="D652" s="664">
        <f t="shared" si="16"/>
        <v>-2.7210901143607247E-3</v>
      </c>
      <c r="E652" s="668">
        <f t="shared" si="17"/>
        <v>-1.3792835794960797E-2</v>
      </c>
    </row>
    <row r="653" spans="1:5" outlineLevel="2">
      <c r="A653" s="658">
        <v>44974</v>
      </c>
      <c r="B653" s="661">
        <v>3.48</v>
      </c>
      <c r="C653" s="661">
        <v>8709.2099999999991</v>
      </c>
      <c r="D653" s="664">
        <f t="shared" si="16"/>
        <v>-5.3159368280095924E-2</v>
      </c>
      <c r="E653" s="668">
        <f t="shared" si="17"/>
        <v>-2.584721546146715E-3</v>
      </c>
    </row>
    <row r="654" spans="1:5" outlineLevel="1">
      <c r="A654" s="658">
        <v>44978</v>
      </c>
      <c r="B654" s="661">
        <v>3.4</v>
      </c>
      <c r="C654" s="661">
        <v>8534.73</v>
      </c>
      <c r="D654" s="664">
        <f t="shared" si="16"/>
        <v>-2.3256862164267235E-2</v>
      </c>
      <c r="E654" s="668">
        <f t="shared" si="17"/>
        <v>-2.0237365106827644E-2</v>
      </c>
    </row>
    <row r="655" spans="1:5" outlineLevel="1">
      <c r="A655" s="658">
        <v>44979</v>
      </c>
      <c r="B655" s="661">
        <v>3.5</v>
      </c>
      <c r="C655" s="661">
        <v>8521.4500000000007</v>
      </c>
      <c r="D655" s="664">
        <f t="shared" si="16"/>
        <v>2.8987536873252406E-2</v>
      </c>
      <c r="E655" s="668">
        <f t="shared" si="17"/>
        <v>-1.5572071452750391E-3</v>
      </c>
    </row>
    <row r="656" spans="1:5" outlineLevel="1">
      <c r="A656" s="658">
        <v>44980</v>
      </c>
      <c r="B656" s="661">
        <v>3.21</v>
      </c>
      <c r="C656" s="661">
        <v>8567.57</v>
      </c>
      <c r="D656" s="664">
        <f t="shared" si="16"/>
        <v>-8.6492031353443494E-2</v>
      </c>
      <c r="E656" s="668">
        <f t="shared" si="17"/>
        <v>5.3976309903356508E-3</v>
      </c>
    </row>
    <row r="657" spans="1:6" outlineLevel="1">
      <c r="A657" s="658">
        <v>44981</v>
      </c>
      <c r="B657" s="661">
        <v>3.1</v>
      </c>
      <c r="C657" s="661">
        <v>8477.66</v>
      </c>
      <c r="D657" s="664">
        <f t="shared" si="16"/>
        <v>-3.4868825650823936E-2</v>
      </c>
      <c r="E657" s="668">
        <f t="shared" si="17"/>
        <v>-1.054967681648673E-2</v>
      </c>
    </row>
    <row r="658" spans="1:6" outlineLevel="1">
      <c r="A658" s="658">
        <v>44984</v>
      </c>
      <c r="B658" s="661">
        <v>3.17</v>
      </c>
      <c r="C658" s="661">
        <v>8504.76</v>
      </c>
      <c r="D658" s="664">
        <f t="shared" si="16"/>
        <v>2.2329476398088577E-2</v>
      </c>
      <c r="E658" s="668">
        <f t="shared" si="17"/>
        <v>3.1915384265839559E-3</v>
      </c>
    </row>
    <row r="659" spans="1:6" outlineLevel="1">
      <c r="A659" s="658">
        <v>44985</v>
      </c>
      <c r="B659" s="661">
        <v>3.21</v>
      </c>
      <c r="C659" s="661">
        <v>8479.7999999999993</v>
      </c>
      <c r="D659" s="664">
        <f t="shared" si="16"/>
        <v>1.2539349252735173E-2</v>
      </c>
      <c r="E659" s="668">
        <f t="shared" si="17"/>
        <v>-2.9391421347619E-3</v>
      </c>
    </row>
    <row r="660" spans="1:6" outlineLevel="1">
      <c r="A660" s="658">
        <v>44986</v>
      </c>
      <c r="B660" s="661">
        <v>3.1</v>
      </c>
      <c r="C660" s="661">
        <v>8440.25</v>
      </c>
      <c r="D660" s="664">
        <f t="shared" si="16"/>
        <v>-3.4868825650823936E-2</v>
      </c>
      <c r="E660" s="668">
        <f t="shared" si="17"/>
        <v>-4.6749355977654282E-3</v>
      </c>
    </row>
    <row r="661" spans="1:6" outlineLevel="1">
      <c r="A661" s="658">
        <v>44987</v>
      </c>
      <c r="B661" s="661">
        <v>3.2</v>
      </c>
      <c r="C661" s="661">
        <v>8505.5499999999993</v>
      </c>
      <c r="D661" s="664">
        <f t="shared" si="16"/>
        <v>3.174869831458027E-2</v>
      </c>
      <c r="E661" s="668">
        <f t="shared" si="17"/>
        <v>7.7069625771383063E-3</v>
      </c>
    </row>
    <row r="662" spans="1:6" ht="15.75" outlineLevel="1" thickBot="1">
      <c r="A662" s="659">
        <v>44988</v>
      </c>
      <c r="B662" s="662">
        <v>3.28</v>
      </c>
      <c r="C662" s="662">
        <v>8643.61</v>
      </c>
      <c r="D662" s="665">
        <f t="shared" si="16"/>
        <v>2.4692612590371414E-2</v>
      </c>
      <c r="E662" s="669">
        <f t="shared" si="17"/>
        <v>1.6101428026470722E-2</v>
      </c>
    </row>
    <row r="663" spans="1:6" outlineLevel="1"/>
    <row r="664" spans="1:6" ht="15.75" thickBot="1"/>
    <row r="665" spans="1:6">
      <c r="E665" s="931" t="s">
        <v>614</v>
      </c>
      <c r="F665" s="932"/>
    </row>
    <row r="666" spans="1:6">
      <c r="E666" s="432" t="s">
        <v>555</v>
      </c>
      <c r="F666" s="688">
        <v>12600</v>
      </c>
    </row>
    <row r="667" spans="1:6">
      <c r="E667" s="432" t="s">
        <v>561</v>
      </c>
      <c r="F667" s="689">
        <v>0.10181532233420162</v>
      </c>
    </row>
    <row r="668" spans="1:6">
      <c r="E668" s="432" t="s">
        <v>575</v>
      </c>
      <c r="F668" s="688">
        <v>-326</v>
      </c>
    </row>
    <row r="669" spans="1:6">
      <c r="E669" s="432" t="s">
        <v>580</v>
      </c>
      <c r="F669" s="690">
        <v>0.2011</v>
      </c>
    </row>
    <row r="670" spans="1:6">
      <c r="E670" s="432" t="s">
        <v>586</v>
      </c>
      <c r="F670" s="691">
        <v>0.15811846071420721</v>
      </c>
    </row>
    <row r="671" spans="1:6" ht="15.75" thickBot="1">
      <c r="E671" s="687" t="s">
        <v>1</v>
      </c>
      <c r="F671" s="692">
        <v>0.10116445071995173</v>
      </c>
    </row>
  </sheetData>
  <mergeCells count="3">
    <mergeCell ref="G95:H95"/>
    <mergeCell ref="A93:H93"/>
    <mergeCell ref="E665:F665"/>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DB9D7-E5D1-4A16-BDF9-0AF07A48F7E2}">
  <sheetPr codeName="Sheet12"/>
  <dimension ref="A1:L48"/>
  <sheetViews>
    <sheetView showGridLines="0" workbookViewId="0">
      <selection activeCell="H20" sqref="H20"/>
    </sheetView>
  </sheetViews>
  <sheetFormatPr defaultColWidth="8.7109375" defaultRowHeight="15"/>
  <cols>
    <col min="1" max="1" width="3.7109375" customWidth="1"/>
    <col min="2" max="2" width="37.28515625" bestFit="1" customWidth="1"/>
    <col min="3" max="3" width="15.7109375" bestFit="1" customWidth="1"/>
    <col min="4" max="4" width="6.42578125" customWidth="1"/>
    <col min="5" max="5" width="20.140625" bestFit="1" customWidth="1"/>
    <col min="6" max="6" width="24.140625" bestFit="1" customWidth="1"/>
    <col min="7" max="8" width="15.7109375" bestFit="1" customWidth="1"/>
    <col min="11" max="11" width="9.28515625" customWidth="1"/>
  </cols>
  <sheetData>
    <row r="1" spans="1:12" ht="15.75" thickBot="1">
      <c r="A1" s="517" t="s">
        <v>615</v>
      </c>
      <c r="B1" s="518"/>
      <c r="C1" s="518"/>
      <c r="D1" s="518"/>
      <c r="E1" s="518"/>
      <c r="F1" s="518"/>
      <c r="G1" s="518"/>
      <c r="H1" s="518"/>
      <c r="I1" s="518"/>
      <c r="J1" s="518"/>
      <c r="K1" s="518"/>
      <c r="L1" s="519"/>
    </row>
    <row r="2" spans="1:12" ht="4.1500000000000004" customHeight="1"/>
    <row r="3" spans="1:12" ht="15.75" thickBot="1"/>
    <row r="4" spans="1:12" ht="15.75" thickBot="1">
      <c r="B4" s="933" t="s">
        <v>586</v>
      </c>
      <c r="C4" s="933"/>
      <c r="D4" s="934"/>
      <c r="F4" s="888" t="s">
        <v>616</v>
      </c>
      <c r="G4" s="888"/>
      <c r="H4" s="888"/>
      <c r="I4" s="888"/>
      <c r="J4" s="943"/>
      <c r="L4" s="20"/>
    </row>
    <row r="5" spans="1:12" ht="15.75" thickBot="1">
      <c r="B5" s="933">
        <v>2021</v>
      </c>
      <c r="C5" s="944"/>
      <c r="D5" s="945"/>
      <c r="F5" s="760"/>
      <c r="G5" s="807"/>
      <c r="H5" s="807"/>
      <c r="I5" s="807"/>
      <c r="J5" s="761"/>
      <c r="L5" s="20"/>
    </row>
    <row r="6" spans="1:12">
      <c r="B6" s="763" t="s">
        <v>617</v>
      </c>
      <c r="C6" s="935">
        <v>-1675</v>
      </c>
      <c r="D6" s="936"/>
      <c r="F6" s="759" t="s">
        <v>290</v>
      </c>
      <c r="G6" s="546" t="s">
        <v>0</v>
      </c>
      <c r="H6" s="546" t="s">
        <v>237</v>
      </c>
      <c r="I6" s="546" t="s">
        <v>618</v>
      </c>
      <c r="J6" s="547" t="s">
        <v>619</v>
      </c>
      <c r="L6" s="194"/>
    </row>
    <row r="7" spans="1:12" ht="30">
      <c r="B7" s="531" t="s">
        <v>620</v>
      </c>
      <c r="C7" s="937">
        <f>1570</f>
        <v>1570</v>
      </c>
      <c r="D7" s="938"/>
      <c r="F7" s="537" t="s">
        <v>276</v>
      </c>
      <c r="G7" s="207">
        <v>283</v>
      </c>
      <c r="H7" s="208">
        <f t="shared" ref="H7:H12" si="0">G7/$G$12</f>
        <v>0.41925925925925928</v>
      </c>
      <c r="I7" s="209">
        <f>8.33%-C12</f>
        <v>4.99E-2</v>
      </c>
      <c r="J7" s="539">
        <v>0.17</v>
      </c>
      <c r="L7" s="194"/>
    </row>
    <row r="8" spans="1:12" ht="15.75" thickBot="1">
      <c r="B8" s="764" t="s">
        <v>621</v>
      </c>
      <c r="C8" s="939">
        <f>-(Values!D56+Values!D62)</f>
        <v>-2175</v>
      </c>
      <c r="D8" s="940"/>
      <c r="F8" s="537" t="s">
        <v>274</v>
      </c>
      <c r="G8" s="207">
        <v>108</v>
      </c>
      <c r="H8" s="208">
        <f t="shared" si="0"/>
        <v>0.16</v>
      </c>
      <c r="I8" s="209">
        <f>7.7% - 4.123%</f>
        <v>3.5769999999999996E-2</v>
      </c>
      <c r="J8" s="539">
        <v>0.24</v>
      </c>
      <c r="L8" s="202"/>
    </row>
    <row r="9" spans="1:12" ht="15.75" thickBot="1">
      <c r="B9" s="762" t="s">
        <v>586</v>
      </c>
      <c r="C9" s="941">
        <f>SUM(C6:C7)/C8</f>
        <v>4.8275862068965517E-2</v>
      </c>
      <c r="D9" s="942"/>
      <c r="E9" s="194"/>
      <c r="F9" s="537" t="s">
        <v>275</v>
      </c>
      <c r="G9" s="207">
        <v>81</v>
      </c>
      <c r="H9" s="208">
        <f t="shared" si="0"/>
        <v>0.12</v>
      </c>
      <c r="I9" s="209">
        <v>9.2299999999999993E-2</v>
      </c>
      <c r="J9" s="539">
        <v>0.25</v>
      </c>
      <c r="L9" s="202"/>
    </row>
    <row r="10" spans="1:12" ht="15.75" thickBot="1">
      <c r="F10" s="537" t="s">
        <v>277</v>
      </c>
      <c r="G10" s="207">
        <v>76</v>
      </c>
      <c r="H10" s="208">
        <f t="shared" si="0"/>
        <v>0.11259259259259259</v>
      </c>
      <c r="I10" s="209">
        <v>4.2200000000000001E-2</v>
      </c>
      <c r="J10" s="539">
        <v>0.2</v>
      </c>
      <c r="L10" s="203"/>
    </row>
    <row r="11" spans="1:12" ht="30.75" thickBot="1">
      <c r="B11" s="933" t="s">
        <v>622</v>
      </c>
      <c r="C11" s="934"/>
      <c r="D11" s="765"/>
      <c r="F11" s="462" t="s">
        <v>293</v>
      </c>
      <c r="G11" s="207">
        <v>127</v>
      </c>
      <c r="H11" s="208">
        <f t="shared" si="0"/>
        <v>0.18814814814814815</v>
      </c>
      <c r="I11" s="211">
        <f>(1/3)*3.57%+(1/3)*11.13%+(1/3)*15.43%</f>
        <v>0.10043333333333333</v>
      </c>
      <c r="J11" s="540">
        <f>(1/3)*22%+(1/3)*20%+(1/3)*20%</f>
        <v>0.20666666666666667</v>
      </c>
      <c r="L11" s="203"/>
    </row>
    <row r="12" spans="1:12" ht="15.75" thickBot="1">
      <c r="B12" s="543" t="s">
        <v>623</v>
      </c>
      <c r="C12" s="544">
        <v>3.3399999999999999E-2</v>
      </c>
      <c r="D12" s="766"/>
      <c r="F12" s="554" t="s">
        <v>114</v>
      </c>
      <c r="G12" s="555">
        <f>SUM(G7:G11)</f>
        <v>675</v>
      </c>
      <c r="H12" s="556">
        <f t="shared" si="0"/>
        <v>1</v>
      </c>
      <c r="I12" s="557">
        <f t="array" ref="I12">MMULT(TRANSPOSE(H7:H11),I7:I11)</f>
        <v>6.1367990123456784E-2</v>
      </c>
      <c r="J12" s="536">
        <f t="array" ref="J12">MMULT(TRANSPOSE(H7:H11),J7:J11)</f>
        <v>0.20107654320987656</v>
      </c>
      <c r="L12" s="203"/>
    </row>
    <row r="13" spans="1:12">
      <c r="B13" s="530" t="s">
        <v>624</v>
      </c>
      <c r="C13" s="464">
        <f>$I$12</f>
        <v>6.1367990123456784E-2</v>
      </c>
      <c r="D13" s="766"/>
      <c r="F13" s="521"/>
      <c r="G13" s="205"/>
      <c r="I13" s="522"/>
      <c r="J13" s="422"/>
      <c r="K13" s="20"/>
      <c r="L13" s="203"/>
    </row>
    <row r="14" spans="1:12">
      <c r="B14" s="530" t="s">
        <v>625</v>
      </c>
      <c r="C14" s="533">
        <f>$L$32+$L$40+$L$48</f>
        <v>1.1512727640228493</v>
      </c>
      <c r="D14" s="767"/>
      <c r="F14" s="946" t="s">
        <v>626</v>
      </c>
      <c r="G14" s="946"/>
      <c r="H14" s="946"/>
      <c r="I14" s="946"/>
      <c r="J14" s="946"/>
      <c r="K14" s="20"/>
      <c r="L14" s="203"/>
    </row>
    <row r="15" spans="1:12">
      <c r="B15" s="530" t="s">
        <v>627</v>
      </c>
      <c r="C15" s="533">
        <f>$C$14*((1+(1-J12)*((Values!D62+Values!D56)/Values!D71)))</f>
        <v>1.2441948191829897</v>
      </c>
      <c r="D15" s="767"/>
      <c r="F15" s="946"/>
      <c r="G15" s="946"/>
      <c r="H15" s="946"/>
      <c r="I15" s="946"/>
      <c r="J15" s="946"/>
      <c r="K15" s="20"/>
      <c r="L15" s="203"/>
    </row>
    <row r="16" spans="1:12" ht="15.75" thickBot="1">
      <c r="B16" s="532" t="s">
        <v>561</v>
      </c>
      <c r="C16" s="534">
        <f>$C$12+($C$15*$C$13)</f>
        <v>0.10975373537527781</v>
      </c>
      <c r="D16" s="768"/>
      <c r="F16" s="204"/>
      <c r="G16" s="205"/>
      <c r="K16" s="20"/>
      <c r="L16" s="203"/>
    </row>
    <row r="17" spans="2:12" ht="15.75" thickBot="1">
      <c r="B17" s="521"/>
      <c r="C17" s="205"/>
      <c r="D17" s="768"/>
      <c r="F17" s="204"/>
      <c r="G17" s="205"/>
      <c r="K17" s="20"/>
      <c r="L17" s="203"/>
    </row>
    <row r="18" spans="2:12" ht="15.75" thickBot="1">
      <c r="B18" s="933" t="s">
        <v>628</v>
      </c>
      <c r="C18" s="934"/>
      <c r="D18" s="765"/>
      <c r="F18" s="204"/>
      <c r="G18" s="205"/>
      <c r="K18" s="20"/>
      <c r="L18" s="203"/>
    </row>
    <row r="19" spans="2:12">
      <c r="B19" s="543" t="s">
        <v>629</v>
      </c>
      <c r="C19" s="545">
        <f>(Values!D56+Values!D62)/(Values!D71+Values!D56+Values!D62)</f>
        <v>9.1756665541680729E-2</v>
      </c>
      <c r="D19" s="769"/>
      <c r="F19" s="204"/>
      <c r="G19" s="205"/>
      <c r="K19" s="20"/>
      <c r="L19" s="203"/>
    </row>
    <row r="20" spans="2:12">
      <c r="B20" s="530" t="s">
        <v>586</v>
      </c>
      <c r="C20" s="464">
        <f>AVERAGE(C9:D9)</f>
        <v>4.8275862068965517E-2</v>
      </c>
      <c r="D20" s="766"/>
      <c r="F20" s="204"/>
      <c r="G20" s="205"/>
      <c r="K20" s="20"/>
      <c r="L20" s="203"/>
    </row>
    <row r="21" spans="2:12">
      <c r="B21" s="530" t="s">
        <v>630</v>
      </c>
      <c r="C21" s="535">
        <f>1-C19</f>
        <v>0.90824333445831928</v>
      </c>
      <c r="D21" s="769"/>
      <c r="F21" s="204"/>
      <c r="G21" s="205"/>
      <c r="K21" s="20"/>
      <c r="L21" s="203"/>
    </row>
    <row r="22" spans="2:12">
      <c r="B22" s="530" t="s">
        <v>561</v>
      </c>
      <c r="C22" s="837">
        <f>C16</f>
        <v>0.10975373537527781</v>
      </c>
      <c r="D22" s="205"/>
      <c r="F22" s="204"/>
      <c r="G22" s="205"/>
      <c r="K22" s="20"/>
      <c r="L22" s="203"/>
    </row>
    <row r="23" spans="2:12" ht="15.75" thickBot="1">
      <c r="B23" s="838" t="s">
        <v>1</v>
      </c>
      <c r="C23" s="839">
        <f>(C19*C20)*(1-J12)+C21*C22</f>
        <v>0.10322203559978566</v>
      </c>
      <c r="D23" s="840"/>
    </row>
    <row r="25" spans="2:12" ht="15.75" thickBot="1">
      <c r="B25" s="558" t="s">
        <v>631</v>
      </c>
      <c r="C25" s="214"/>
      <c r="D25" s="214"/>
      <c r="E25" s="214"/>
      <c r="F25" s="214"/>
      <c r="G25" s="214"/>
      <c r="H25" s="214"/>
      <c r="I25" s="214"/>
      <c r="J25" s="214"/>
      <c r="K25" s="214"/>
      <c r="L25" s="214"/>
    </row>
    <row r="26" spans="2:12" ht="15.75" thickBot="1">
      <c r="B26" s="756" t="s">
        <v>632</v>
      </c>
      <c r="C26" s="757"/>
      <c r="D26" s="757"/>
      <c r="E26" s="757"/>
      <c r="F26" s="757"/>
      <c r="G26" s="757"/>
      <c r="H26" s="757"/>
      <c r="I26" s="757"/>
      <c r="J26" s="757"/>
      <c r="K26" s="757"/>
      <c r="L26" s="758"/>
    </row>
    <row r="27" spans="2:12" ht="60">
      <c r="B27" s="525" t="s">
        <v>235</v>
      </c>
      <c r="C27" s="524" t="s">
        <v>236</v>
      </c>
      <c r="D27" s="523" t="s">
        <v>237</v>
      </c>
      <c r="E27" s="524" t="s">
        <v>633</v>
      </c>
      <c r="F27" s="523" t="s">
        <v>634</v>
      </c>
      <c r="G27" s="524" t="s">
        <v>635</v>
      </c>
      <c r="H27" s="524" t="s">
        <v>636</v>
      </c>
      <c r="I27" s="523" t="s">
        <v>637</v>
      </c>
      <c r="J27" s="524" t="s">
        <v>638</v>
      </c>
      <c r="K27" s="524" t="s">
        <v>625</v>
      </c>
      <c r="L27" s="526" t="s">
        <v>639</v>
      </c>
    </row>
    <row r="28" spans="2:12">
      <c r="B28" s="527" t="s">
        <v>640</v>
      </c>
      <c r="C28" s="212">
        <v>1824000000</v>
      </c>
      <c r="D28" s="211">
        <f>C28/$C$31</f>
        <v>2.2124484186573447E-2</v>
      </c>
      <c r="E28" s="212">
        <v>56036546</v>
      </c>
      <c r="F28" s="212">
        <v>1073700000</v>
      </c>
      <c r="G28" s="212">
        <f>C28</f>
        <v>1824000000</v>
      </c>
      <c r="H28" s="207">
        <f>E28/G28</f>
        <v>3.0721790570175437E-2</v>
      </c>
      <c r="I28" s="210">
        <v>0.25</v>
      </c>
      <c r="J28" s="207">
        <v>1.2</v>
      </c>
      <c r="K28" s="213">
        <f>J28/(1+(1-I28)*H28)</f>
        <v>1.1729731240049077</v>
      </c>
      <c r="L28" s="528">
        <f>K28*D28</f>
        <v>2.5951425333322235E-2</v>
      </c>
    </row>
    <row r="29" spans="2:12">
      <c r="B29" s="527" t="s">
        <v>641</v>
      </c>
      <c r="C29" s="212">
        <v>10452700000</v>
      </c>
      <c r="D29" s="211">
        <f>C29/$C$31</f>
        <v>0.12678760737773917</v>
      </c>
      <c r="E29" s="212">
        <f>1377900000</f>
        <v>1377900000</v>
      </c>
      <c r="F29" s="212">
        <v>5766700000</v>
      </c>
      <c r="G29" s="212">
        <f>C29</f>
        <v>10452700000</v>
      </c>
      <c r="H29" s="207">
        <f>E29/G29</f>
        <v>0.13182239995407885</v>
      </c>
      <c r="I29" s="209">
        <v>0.15825</v>
      </c>
      <c r="J29" s="207">
        <v>1.0900000000000001</v>
      </c>
      <c r="K29" s="213">
        <f>J29/(1+(1-I29)*H29)</f>
        <v>0.98113210488035618</v>
      </c>
      <c r="L29" s="528">
        <f>K29*D29</f>
        <v>0.12439539209926541</v>
      </c>
    </row>
    <row r="30" spans="2:12">
      <c r="B30" s="527" t="s">
        <v>642</v>
      </c>
      <c r="C30" s="212">
        <v>70165900000</v>
      </c>
      <c r="D30" s="211">
        <f>C30/$C$31</f>
        <v>0.85108790843568738</v>
      </c>
      <c r="E30" s="212">
        <v>10938000000</v>
      </c>
      <c r="F30" s="212">
        <v>15145000000</v>
      </c>
      <c r="G30" s="212">
        <f>C30</f>
        <v>70165900000</v>
      </c>
      <c r="H30" s="207">
        <f>E30/G30</f>
        <v>0.15588768903413197</v>
      </c>
      <c r="I30" s="210">
        <v>0.21</v>
      </c>
      <c r="J30" s="207">
        <v>1.31</v>
      </c>
      <c r="K30" s="213">
        <f>J30/(1+(1-I30)*H30)</f>
        <v>1.1663611393517219</v>
      </c>
      <c r="L30" s="528">
        <f>K30*D30</f>
        <v>0.99267586257152229</v>
      </c>
    </row>
    <row r="31" spans="2:12">
      <c r="B31" s="527" t="s">
        <v>114</v>
      </c>
      <c r="C31" s="212">
        <f>SUM(C28:C30)</f>
        <v>82442600000</v>
      </c>
      <c r="D31" s="211">
        <f>C31/$C$31</f>
        <v>1</v>
      </c>
      <c r="E31" s="207"/>
      <c r="F31" s="207"/>
      <c r="G31" s="207"/>
      <c r="H31" s="207"/>
      <c r="I31" s="207"/>
      <c r="J31" s="207"/>
      <c r="K31" s="207"/>
      <c r="L31" s="529">
        <f>SUM(L28:L30)</f>
        <v>1.1430226800041099</v>
      </c>
    </row>
    <row r="32" spans="2:12" ht="15.75" thickBot="1">
      <c r="B32" s="548" t="s">
        <v>643</v>
      </c>
      <c r="C32" s="549"/>
      <c r="D32" s="550"/>
      <c r="E32" s="550"/>
      <c r="F32" s="550"/>
      <c r="G32" s="550"/>
      <c r="H32" s="550"/>
      <c r="I32" s="550"/>
      <c r="J32" s="550"/>
      <c r="K32" s="551"/>
      <c r="L32" s="552">
        <f>L31*(Values!D5/(Values!D3-Values!D8))</f>
        <v>0.26809406757624132</v>
      </c>
    </row>
    <row r="33" spans="2:12" ht="15.75" thickBot="1"/>
    <row r="34" spans="2:12" ht="15.75" thickBot="1">
      <c r="B34" s="756" t="s">
        <v>140</v>
      </c>
      <c r="C34" s="757"/>
      <c r="D34" s="757"/>
      <c r="E34" s="757"/>
      <c r="F34" s="757"/>
      <c r="G34" s="757"/>
      <c r="H34" s="757"/>
      <c r="I34" s="757"/>
      <c r="J34" s="757"/>
      <c r="K34" s="757"/>
      <c r="L34" s="758"/>
    </row>
    <row r="35" spans="2:12" ht="60">
      <c r="B35" s="525" t="s">
        <v>235</v>
      </c>
      <c r="C35" s="524" t="s">
        <v>236</v>
      </c>
      <c r="D35" s="523" t="s">
        <v>237</v>
      </c>
      <c r="E35" s="524" t="s">
        <v>633</v>
      </c>
      <c r="F35" s="523" t="s">
        <v>634</v>
      </c>
      <c r="G35" s="524" t="s">
        <v>635</v>
      </c>
      <c r="H35" s="524" t="s">
        <v>636</v>
      </c>
      <c r="I35" s="523" t="s">
        <v>637</v>
      </c>
      <c r="J35" s="524" t="s">
        <v>638</v>
      </c>
      <c r="K35" s="524" t="s">
        <v>625</v>
      </c>
      <c r="L35" s="526" t="s">
        <v>639</v>
      </c>
    </row>
    <row r="36" spans="2:12">
      <c r="B36" s="527" t="s">
        <v>644</v>
      </c>
      <c r="C36" s="212">
        <v>1929700000</v>
      </c>
      <c r="D36" s="211">
        <f>C36/$C$39</f>
        <v>2.5419118412230473E-2</v>
      </c>
      <c r="E36" s="212">
        <v>453468516</v>
      </c>
      <c r="F36" s="212">
        <v>3136300000</v>
      </c>
      <c r="G36" s="212">
        <f>C36</f>
        <v>1929700000</v>
      </c>
      <c r="H36" s="207">
        <f>E36/G36</f>
        <v>0.23499430792351142</v>
      </c>
      <c r="I36" s="210">
        <v>0.17</v>
      </c>
      <c r="J36" s="207">
        <v>1.03</v>
      </c>
      <c r="K36" s="213">
        <f>J36/(1+(1-I36)*H36)</f>
        <v>0.86189203124802682</v>
      </c>
      <c r="L36" s="528">
        <f>K36*D36</f>
        <v>2.1908535600851441E-2</v>
      </c>
    </row>
    <row r="37" spans="2:12">
      <c r="B37" s="527" t="s">
        <v>645</v>
      </c>
      <c r="C37" s="212">
        <v>3819700000</v>
      </c>
      <c r="D37" s="211">
        <f>C37/$C$39</f>
        <v>5.0315285588017171E-2</v>
      </c>
      <c r="E37" s="212">
        <v>865405000</v>
      </c>
      <c r="F37" s="212">
        <v>5766700000</v>
      </c>
      <c r="G37" s="212">
        <f>C37</f>
        <v>3819700000</v>
      </c>
      <c r="H37" s="207">
        <f>E37/G37</f>
        <v>0.22656360447155535</v>
      </c>
      <c r="I37" s="210">
        <v>0.21</v>
      </c>
      <c r="J37" s="207">
        <v>1.0900000000000001</v>
      </c>
      <c r="K37" s="213">
        <f>J37/(1+(1-I37)*H37)</f>
        <v>0.92452386684331822</v>
      </c>
      <c r="L37" s="528">
        <f>K37*D37</f>
        <v>4.6517682393159517E-2</v>
      </c>
    </row>
    <row r="38" spans="2:12">
      <c r="B38" s="527" t="s">
        <v>642</v>
      </c>
      <c r="C38" s="212">
        <v>70165900000</v>
      </c>
      <c r="D38" s="211">
        <f>C38/$C$39</f>
        <v>0.92426559599975233</v>
      </c>
      <c r="E38" s="212">
        <v>10938000000</v>
      </c>
      <c r="F38" s="212">
        <v>15145000000</v>
      </c>
      <c r="G38" s="212">
        <f>C38</f>
        <v>70165900000</v>
      </c>
      <c r="H38" s="207">
        <f>E38/G38</f>
        <v>0.15588768903413197</v>
      </c>
      <c r="I38" s="210">
        <v>0.21</v>
      </c>
      <c r="J38" s="207">
        <v>1.31</v>
      </c>
      <c r="K38" s="213">
        <f>J38/(1+(1-I38)*H38)</f>
        <v>1.1663611393517219</v>
      </c>
      <c r="L38" s="528">
        <f>K38*D38</f>
        <v>1.0780274736138695</v>
      </c>
    </row>
    <row r="39" spans="2:12">
      <c r="B39" s="527" t="s">
        <v>114</v>
      </c>
      <c r="C39" s="212">
        <f>SUM(C36:C38)</f>
        <v>75915300000</v>
      </c>
      <c r="D39" s="211">
        <f>C39/$C$39</f>
        <v>1</v>
      </c>
      <c r="E39" s="207"/>
      <c r="F39" s="207"/>
      <c r="G39" s="207"/>
      <c r="H39" s="207"/>
      <c r="I39" s="207"/>
      <c r="J39" s="207"/>
      <c r="K39" s="207"/>
      <c r="L39" s="529">
        <f>SUM(L36:L38)</f>
        <v>1.1464536916078805</v>
      </c>
    </row>
    <row r="40" spans="2:12" ht="15.75" thickBot="1">
      <c r="B40" s="548" t="s">
        <v>646</v>
      </c>
      <c r="C40" s="549"/>
      <c r="D40" s="550"/>
      <c r="E40" s="550"/>
      <c r="F40" s="550"/>
      <c r="G40" s="550"/>
      <c r="H40" s="550"/>
      <c r="I40" s="550"/>
      <c r="J40" s="550"/>
      <c r="K40" s="551"/>
      <c r="L40" s="552">
        <f>L39*(Values!D6/(Values!D3-Values!D8))</f>
        <v>0.82849902277843657</v>
      </c>
    </row>
    <row r="41" spans="2:12" ht="15.75" thickBot="1"/>
    <row r="42" spans="2:12" ht="15.75" thickBot="1">
      <c r="B42" s="756" t="s">
        <v>647</v>
      </c>
      <c r="C42" s="757"/>
      <c r="D42" s="757"/>
      <c r="E42" s="757"/>
      <c r="F42" s="757"/>
      <c r="G42" s="757"/>
      <c r="H42" s="757"/>
      <c r="I42" s="757"/>
      <c r="J42" s="757"/>
      <c r="K42" s="757"/>
      <c r="L42" s="758"/>
    </row>
    <row r="43" spans="2:12" ht="60">
      <c r="B43" s="525" t="s">
        <v>235</v>
      </c>
      <c r="C43" s="524" t="s">
        <v>236</v>
      </c>
      <c r="D43" s="523" t="s">
        <v>237</v>
      </c>
      <c r="E43" s="524" t="s">
        <v>633</v>
      </c>
      <c r="F43" s="523" t="s">
        <v>634</v>
      </c>
      <c r="G43" s="524" t="s">
        <v>635</v>
      </c>
      <c r="H43" s="524" t="s">
        <v>636</v>
      </c>
      <c r="I43" s="523" t="s">
        <v>637</v>
      </c>
      <c r="J43" s="524" t="s">
        <v>638</v>
      </c>
      <c r="K43" s="524" t="s">
        <v>625</v>
      </c>
      <c r="L43" s="526" t="s">
        <v>639</v>
      </c>
    </row>
    <row r="44" spans="2:12">
      <c r="B44" s="527" t="s">
        <v>648</v>
      </c>
      <c r="C44" s="212">
        <v>87206100000</v>
      </c>
      <c r="D44" s="211">
        <f>C44/$C$47</f>
        <v>0.32238424922995479</v>
      </c>
      <c r="E44" s="212">
        <v>8049000000</v>
      </c>
      <c r="F44" s="212">
        <v>21727000000</v>
      </c>
      <c r="G44" s="212">
        <f>C44</f>
        <v>87206100000</v>
      </c>
      <c r="H44" s="207">
        <f>E44/G44</f>
        <v>9.2298589204195577E-2</v>
      </c>
      <c r="I44" s="210">
        <v>0.21</v>
      </c>
      <c r="J44" s="207">
        <v>1.36</v>
      </c>
      <c r="K44" s="213">
        <f>J44/(1+(1-I44)*H44)</f>
        <v>1.2675737384600043</v>
      </c>
      <c r="L44" s="528">
        <f>K44*D44</f>
        <v>0.40864580801703554</v>
      </c>
    </row>
    <row r="45" spans="2:12">
      <c r="B45" s="527" t="s">
        <v>649</v>
      </c>
      <c r="C45" s="212">
        <v>49402300000</v>
      </c>
      <c r="D45" s="211">
        <f>C45/$C$47</f>
        <v>0.18263084114222508</v>
      </c>
      <c r="E45" s="212">
        <f>4559208000 + 395017000</f>
        <v>4954225000</v>
      </c>
      <c r="F45" s="212">
        <v>3313589000</v>
      </c>
      <c r="G45" s="212">
        <f>C45</f>
        <v>49402300000</v>
      </c>
      <c r="H45" s="207">
        <f>E45/G45</f>
        <v>0.10028328640569366</v>
      </c>
      <c r="I45" s="210">
        <v>0.21</v>
      </c>
      <c r="J45" s="207">
        <v>2.0499999999999998</v>
      </c>
      <c r="K45" s="213">
        <f>J45/(1+(1-I45)*H45)</f>
        <v>1.899513341999346</v>
      </c>
      <c r="L45" s="528">
        <f>K45*D45</f>
        <v>0.34690971941021959</v>
      </c>
    </row>
    <row r="46" spans="2:12">
      <c r="B46" s="527" t="s">
        <v>650</v>
      </c>
      <c r="C46" s="212">
        <v>133895200000</v>
      </c>
      <c r="D46" s="211">
        <f>C46/$C$47</f>
        <v>0.4949849096278201</v>
      </c>
      <c r="E46" s="212">
        <f>2243000000+38675000000</f>
        <v>40918000000</v>
      </c>
      <c r="F46" s="212">
        <v>15145000000</v>
      </c>
      <c r="G46" s="212">
        <f>C46</f>
        <v>133895200000</v>
      </c>
      <c r="H46" s="207">
        <f>E46/G46</f>
        <v>0.30559721334297274</v>
      </c>
      <c r="I46" s="210">
        <v>0.21</v>
      </c>
      <c r="J46" s="207">
        <v>1.31</v>
      </c>
      <c r="K46" s="213">
        <f>J46/(1+(1-I46)*H46)</f>
        <v>1.0552416604409978</v>
      </c>
      <c r="L46" s="528">
        <f>K46*D46</f>
        <v>0.52232869792889813</v>
      </c>
    </row>
    <row r="47" spans="2:12">
      <c r="B47" s="527" t="s">
        <v>114</v>
      </c>
      <c r="C47" s="212">
        <f>SUM(C44:C46)</f>
        <v>270503600000</v>
      </c>
      <c r="D47" s="211">
        <f>C47/$C$47</f>
        <v>1</v>
      </c>
      <c r="E47" s="207"/>
      <c r="F47" s="207"/>
      <c r="G47" s="207"/>
      <c r="H47" s="207"/>
      <c r="I47" s="207"/>
      <c r="J47" s="207"/>
      <c r="K47" s="207"/>
      <c r="L47" s="529">
        <f>SUM(L44:L46)</f>
        <v>1.2778842253561533</v>
      </c>
    </row>
    <row r="48" spans="2:12" ht="15.75" thickBot="1">
      <c r="B48" s="553" t="s">
        <v>651</v>
      </c>
      <c r="C48" s="549"/>
      <c r="D48" s="550"/>
      <c r="E48" s="550"/>
      <c r="F48" s="550"/>
      <c r="G48" s="550"/>
      <c r="H48" s="550"/>
      <c r="I48" s="550"/>
      <c r="J48" s="550"/>
      <c r="K48" s="551"/>
      <c r="L48" s="552">
        <f>L47*(Values!D7/(Values!D3-Values!D8))</f>
        <v>5.4679673668171377E-2</v>
      </c>
    </row>
  </sheetData>
  <mergeCells count="10">
    <mergeCell ref="F4:J4"/>
    <mergeCell ref="B4:D4"/>
    <mergeCell ref="B5:D5"/>
    <mergeCell ref="F14:J15"/>
    <mergeCell ref="B11:C11"/>
    <mergeCell ref="B18:C18"/>
    <mergeCell ref="C6:D6"/>
    <mergeCell ref="C7:D7"/>
    <mergeCell ref="C8:D8"/>
    <mergeCell ref="C9:D9"/>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C6745-7621-4B69-99AD-6F468A69CE41}">
  <sheetPr codeName="Sheet13"/>
  <dimension ref="A1:AD89"/>
  <sheetViews>
    <sheetView zoomScale="81" workbookViewId="0">
      <selection activeCell="B13" sqref="B13"/>
    </sheetView>
  </sheetViews>
  <sheetFormatPr defaultColWidth="8.7109375" defaultRowHeight="15"/>
  <cols>
    <col min="1" max="1" width="8.7109375" style="295"/>
    <col min="2" max="2" width="37.7109375" customWidth="1"/>
    <col min="3" max="5" width="9.42578125" bestFit="1" customWidth="1"/>
    <col min="6" max="6" width="8.7109375" bestFit="1" customWidth="1"/>
    <col min="7" max="8" width="7.7109375" customWidth="1"/>
    <col min="9" max="9" width="12.7109375" bestFit="1" customWidth="1"/>
    <col min="10" max="19" width="11.42578125" bestFit="1" customWidth="1"/>
    <col min="21" max="21" width="27.7109375" bestFit="1" customWidth="1"/>
    <col min="22" max="22" width="10.28515625" bestFit="1" customWidth="1"/>
  </cols>
  <sheetData>
    <row r="1" spans="2:28" ht="15.75" thickBot="1">
      <c r="B1" s="397" t="s">
        <v>652</v>
      </c>
      <c r="C1" s="397"/>
      <c r="D1" s="397"/>
      <c r="E1" s="397"/>
      <c r="F1" s="397"/>
      <c r="G1" s="397"/>
      <c r="H1" s="397"/>
      <c r="I1" s="397"/>
      <c r="J1" s="397"/>
      <c r="K1" s="397"/>
      <c r="L1" s="397"/>
      <c r="M1" s="397"/>
      <c r="N1" s="397"/>
      <c r="O1" s="397"/>
      <c r="P1" s="397"/>
      <c r="Q1" s="397"/>
      <c r="R1" s="397"/>
      <c r="S1" s="397"/>
      <c r="T1" s="295"/>
      <c r="U1" t="s">
        <v>653</v>
      </c>
    </row>
    <row r="2" spans="2:28">
      <c r="B2" s="312"/>
      <c r="C2" s="947" t="s">
        <v>654</v>
      </c>
      <c r="D2" s="947"/>
      <c r="E2" s="947"/>
      <c r="F2" s="947"/>
      <c r="G2" s="947"/>
      <c r="H2" s="947"/>
      <c r="I2" s="949" t="s">
        <v>655</v>
      </c>
      <c r="J2" s="949"/>
      <c r="K2" s="949"/>
      <c r="L2" s="949"/>
      <c r="M2" s="949"/>
      <c r="N2" s="949"/>
      <c r="O2" s="949"/>
      <c r="P2" s="949"/>
      <c r="Q2" s="949"/>
      <c r="R2" s="949"/>
      <c r="S2" s="950"/>
      <c r="T2" s="295"/>
      <c r="V2" s="948" t="s">
        <v>654</v>
      </c>
      <c r="W2" s="948"/>
      <c r="X2" s="948"/>
      <c r="Y2" s="948"/>
      <c r="Z2" s="948"/>
      <c r="AA2" s="948"/>
    </row>
    <row r="3" spans="2:28">
      <c r="B3" s="313"/>
      <c r="C3" s="406" t="s">
        <v>209</v>
      </c>
      <c r="D3" s="406" t="s">
        <v>210</v>
      </c>
      <c r="E3" s="406" t="s">
        <v>211</v>
      </c>
      <c r="F3" s="406" t="s">
        <v>212</v>
      </c>
      <c r="G3" s="406" t="s">
        <v>213</v>
      </c>
      <c r="H3" s="406" t="s">
        <v>214</v>
      </c>
      <c r="I3" s="721" t="s">
        <v>215</v>
      </c>
      <c r="J3" s="721" t="s">
        <v>216</v>
      </c>
      <c r="K3" s="721" t="s">
        <v>217</v>
      </c>
      <c r="L3" s="721" t="s">
        <v>218</v>
      </c>
      <c r="M3" s="721" t="s">
        <v>219</v>
      </c>
      <c r="N3" s="721" t="s">
        <v>220</v>
      </c>
      <c r="O3" s="721" t="s">
        <v>221</v>
      </c>
      <c r="P3" s="721" t="s">
        <v>222</v>
      </c>
      <c r="Q3" s="721" t="s">
        <v>223</v>
      </c>
      <c r="R3" s="721" t="s">
        <v>224</v>
      </c>
      <c r="S3" s="722" t="s">
        <v>225</v>
      </c>
      <c r="T3" s="295"/>
      <c r="V3" s="214" t="s">
        <v>209</v>
      </c>
      <c r="W3" s="214" t="s">
        <v>210</v>
      </c>
      <c r="X3" s="214" t="s">
        <v>211</v>
      </c>
      <c r="Y3" s="214" t="s">
        <v>212</v>
      </c>
      <c r="Z3" s="214" t="s">
        <v>213</v>
      </c>
      <c r="AA3" s="214" t="s">
        <v>214</v>
      </c>
    </row>
    <row r="4" spans="2:28" ht="4.1500000000000004" customHeight="1">
      <c r="B4" s="313"/>
      <c r="C4" s="295"/>
      <c r="D4" s="295"/>
      <c r="E4" s="295"/>
      <c r="F4" s="295"/>
      <c r="G4" s="295"/>
      <c r="H4" s="295"/>
      <c r="I4" s="295"/>
      <c r="J4" s="295"/>
      <c r="K4" s="295"/>
      <c r="L4" s="295"/>
      <c r="M4" s="295"/>
      <c r="N4" s="295"/>
      <c r="O4" s="295"/>
      <c r="P4" s="295"/>
      <c r="Q4" s="295"/>
      <c r="R4" s="295"/>
      <c r="S4" s="314"/>
      <c r="T4" s="295"/>
      <c r="V4" s="214"/>
      <c r="W4" s="214"/>
      <c r="X4" s="214"/>
      <c r="Y4" s="214"/>
      <c r="Z4" s="214"/>
      <c r="AA4" s="214"/>
    </row>
    <row r="5" spans="2:28">
      <c r="B5" s="315" t="s">
        <v>656</v>
      </c>
      <c r="C5" s="298">
        <v>2947</v>
      </c>
      <c r="D5" s="215">
        <v>5468</v>
      </c>
      <c r="E5" s="215">
        <v>8530</v>
      </c>
      <c r="F5" s="215">
        <v>2562</v>
      </c>
      <c r="G5" s="215">
        <v>2476</v>
      </c>
      <c r="H5" s="215">
        <v>2439</v>
      </c>
      <c r="I5" s="264">
        <f>Rates!H20</f>
        <v>1895.3745237298572</v>
      </c>
      <c r="J5" s="265">
        <f>Rates!I20</f>
        <v>9372.3745237298572</v>
      </c>
      <c r="K5" s="265">
        <f>Rates!J20</f>
        <v>10774.355968049365</v>
      </c>
      <c r="L5" s="265">
        <f>Rates!K20</f>
        <v>12407.058408929272</v>
      </c>
      <c r="M5" s="265">
        <f>Rates!L20</f>
        <v>14184.357436358248</v>
      </c>
      <c r="N5" s="265">
        <f>Rates!M20</f>
        <v>15763.337944496359</v>
      </c>
      <c r="O5" s="265">
        <f>Rates!N20</f>
        <v>17086.243792235022</v>
      </c>
      <c r="P5" s="265">
        <f>Rates!O20</f>
        <v>18257.278143917116</v>
      </c>
      <c r="Q5" s="265">
        <f>Rates!P20</f>
        <v>19281.825480066003</v>
      </c>
      <c r="R5" s="265">
        <f>Rates!Q20</f>
        <v>20326.494662750618</v>
      </c>
      <c r="S5" s="316">
        <f>Rates!R20</f>
        <v>21341.47784724041</v>
      </c>
      <c r="T5" s="295"/>
      <c r="U5" s="20" t="s">
        <v>0</v>
      </c>
    </row>
    <row r="6" spans="2:28">
      <c r="B6" s="9" t="s">
        <v>657</v>
      </c>
      <c r="C6" s="299">
        <v>5715</v>
      </c>
      <c r="D6" s="300">
        <v>3232</v>
      </c>
      <c r="E6" s="300">
        <v>2787</v>
      </c>
      <c r="F6" s="300">
        <v>834</v>
      </c>
      <c r="G6" s="300">
        <v>1035</v>
      </c>
      <c r="H6" s="300">
        <v>1086</v>
      </c>
      <c r="I6" s="266">
        <f>Rates!H21</f>
        <v>959.98813014093412</v>
      </c>
      <c r="J6" s="257">
        <f>Rates!I21</f>
        <v>3914.9881301409341</v>
      </c>
      <c r="K6" s="257">
        <f>Rates!J21</f>
        <v>5376.8960947305068</v>
      </c>
      <c r="L6" s="257">
        <f>Rates!K21</f>
        <v>6664.3409987004097</v>
      </c>
      <c r="M6" s="257">
        <f>Rates!L21</f>
        <v>8030.3144283203455</v>
      </c>
      <c r="N6" s="257">
        <f>Rates!M21</f>
        <v>9266.6481474436714</v>
      </c>
      <c r="O6" s="257">
        <f>Rates!N21</f>
        <v>10754.238370853836</v>
      </c>
      <c r="P6" s="257">
        <f>Rates!O21</f>
        <v>12150.948171684435</v>
      </c>
      <c r="Q6" s="257">
        <f>Rates!P21</f>
        <v>13358.725775749985</v>
      </c>
      <c r="R6" s="257">
        <f>Rates!Q21</f>
        <v>14388.607467372041</v>
      </c>
      <c r="S6" s="258">
        <f>Rates!R21</f>
        <v>15357.171107860577</v>
      </c>
      <c r="T6" s="295"/>
      <c r="U6" t="s">
        <v>139</v>
      </c>
      <c r="V6" s="217">
        <v>-638</v>
      </c>
      <c r="W6" s="217">
        <v>5</v>
      </c>
      <c r="X6" s="217">
        <v>148</v>
      </c>
      <c r="Y6" s="217">
        <v>91</v>
      </c>
      <c r="Z6" s="217">
        <v>134</v>
      </c>
      <c r="AA6" s="217">
        <v>171</v>
      </c>
    </row>
    <row r="7" spans="2:28">
      <c r="B7" s="9" t="s">
        <v>658</v>
      </c>
      <c r="C7" s="299">
        <v>3579</v>
      </c>
      <c r="D7" s="300">
        <v>3748</v>
      </c>
      <c r="E7" s="300">
        <v>4591</v>
      </c>
      <c r="F7" s="300">
        <v>1357</v>
      </c>
      <c r="G7" s="300">
        <v>1493</v>
      </c>
      <c r="H7" s="300">
        <v>1507</v>
      </c>
      <c r="I7" s="266">
        <f ca="1">Rates!H22</f>
        <v>647.19000000000051</v>
      </c>
      <c r="J7" s="257">
        <f ca="1">Rates!I22</f>
        <v>5004.1900000000005</v>
      </c>
      <c r="K7" s="257">
        <f ca="1">Rates!J22</f>
        <v>5454.5671000000011</v>
      </c>
      <c r="L7" s="257">
        <f ca="1">Rates!K22</f>
        <v>5945.4781390000016</v>
      </c>
      <c r="M7" s="257">
        <f ca="1">Rates!L22</f>
        <v>6480.5711715100024</v>
      </c>
      <c r="N7" s="257">
        <f ca="1">Rates!M22</f>
        <v>7063.8225769459032</v>
      </c>
      <c r="O7" s="257">
        <f ca="1">Rates!N22</f>
        <v>7699.566608871035</v>
      </c>
      <c r="P7" s="257">
        <f ca="1">Rates!O22</f>
        <v>8392.5276036694286</v>
      </c>
      <c r="Q7" s="257">
        <f ca="1">Rates!P22</f>
        <v>9063.9298119629839</v>
      </c>
      <c r="R7" s="257">
        <f ca="1">Rates!Q22</f>
        <v>9789.0441969200238</v>
      </c>
      <c r="S7" s="258">
        <f ca="1">Rates!R22</f>
        <v>10572.167732673626</v>
      </c>
      <c r="T7" s="295"/>
      <c r="U7" t="s">
        <v>140</v>
      </c>
      <c r="V7" s="217">
        <v>9</v>
      </c>
      <c r="W7" s="217">
        <v>438</v>
      </c>
      <c r="X7" s="217">
        <v>456</v>
      </c>
      <c r="Y7" s="217">
        <v>112</v>
      </c>
      <c r="Z7" s="217">
        <v>161</v>
      </c>
      <c r="AA7" s="217">
        <v>176</v>
      </c>
    </row>
    <row r="8" spans="2:28">
      <c r="B8" s="82" t="s">
        <v>659</v>
      </c>
      <c r="C8" s="301">
        <v>9</v>
      </c>
      <c r="D8" s="216">
        <v>44</v>
      </c>
      <c r="E8" s="216">
        <v>153</v>
      </c>
      <c r="F8" s="216">
        <v>52</v>
      </c>
      <c r="G8" s="216">
        <v>52</v>
      </c>
      <c r="H8" s="216">
        <v>48</v>
      </c>
      <c r="I8" s="302">
        <f ca="1">Rates!H23</f>
        <v>62.199999999999989</v>
      </c>
      <c r="J8" s="303">
        <f ca="1">Rates!I23</f>
        <v>214.2</v>
      </c>
      <c r="K8" s="303">
        <f ca="1">Rates!J23</f>
        <v>247.19999999999996</v>
      </c>
      <c r="L8" s="303">
        <f ca="1">Rates!K23</f>
        <v>280.2</v>
      </c>
      <c r="M8" s="303">
        <f ca="1">Rates!L23</f>
        <v>313.2</v>
      </c>
      <c r="N8" s="303">
        <f ca="1">Rates!M23</f>
        <v>350.08650963597427</v>
      </c>
      <c r="O8" s="303">
        <f ca="1">Rates!N23</f>
        <v>391.31725488218109</v>
      </c>
      <c r="P8" s="303">
        <f ca="1">Rates!O23</f>
        <v>437.40386948286624</v>
      </c>
      <c r="Q8" s="303">
        <f ca="1">Rates!P23</f>
        <v>488.91824383309677</v>
      </c>
      <c r="R8" s="303">
        <f ca="1">Rates!Q23</f>
        <v>546.4996215864594</v>
      </c>
      <c r="S8" s="317">
        <f ca="1">Rates!R23</f>
        <v>610.86253205167407</v>
      </c>
      <c r="T8" s="295"/>
      <c r="U8" t="s">
        <v>141</v>
      </c>
      <c r="V8" s="217">
        <v>-229</v>
      </c>
      <c r="W8" s="217">
        <v>-10</v>
      </c>
      <c r="X8" s="217">
        <v>27</v>
      </c>
      <c r="Y8" s="217">
        <v>11</v>
      </c>
      <c r="Z8" s="217">
        <v>13</v>
      </c>
      <c r="AA8" s="217">
        <v>20</v>
      </c>
    </row>
    <row r="9" spans="2:28">
      <c r="B9" s="9" t="s">
        <v>553</v>
      </c>
      <c r="C9" s="298">
        <f t="shared" ref="C9:H9" si="0">SUM(C5:C8)</f>
        <v>12250</v>
      </c>
      <c r="D9" s="215">
        <f>SUM(D5:D8)</f>
        <v>12492</v>
      </c>
      <c r="E9" s="215">
        <f t="shared" si="0"/>
        <v>16061</v>
      </c>
      <c r="F9" s="215">
        <f t="shared" si="0"/>
        <v>4805</v>
      </c>
      <c r="G9" s="215">
        <f t="shared" si="0"/>
        <v>5056</v>
      </c>
      <c r="H9" s="215">
        <f t="shared" si="0"/>
        <v>5080</v>
      </c>
      <c r="I9" s="264">
        <f ca="1">SUM(I5:I8)</f>
        <v>3564.7526538707916</v>
      </c>
      <c r="J9" s="265">
        <f t="shared" ref="J9:S9" ca="1" si="1">SUM(J5:J8)</f>
        <v>18505.752653870793</v>
      </c>
      <c r="K9" s="265">
        <f t="shared" ca="1" si="1"/>
        <v>21853.019162779874</v>
      </c>
      <c r="L9" s="265">
        <f t="shared" ca="1" si="1"/>
        <v>25297.077546629684</v>
      </c>
      <c r="M9" s="265">
        <f t="shared" ca="1" si="1"/>
        <v>29008.443036188601</v>
      </c>
      <c r="N9" s="265">
        <f t="shared" ca="1" si="1"/>
        <v>32443.895178521907</v>
      </c>
      <c r="O9" s="265">
        <f t="shared" ca="1" si="1"/>
        <v>35931.366026842072</v>
      </c>
      <c r="P9" s="265">
        <f t="shared" ca="1" si="1"/>
        <v>39238.157788753844</v>
      </c>
      <c r="Q9" s="265">
        <f t="shared" ca="1" si="1"/>
        <v>42193.399311612069</v>
      </c>
      <c r="R9" s="265">
        <f t="shared" ca="1" si="1"/>
        <v>45050.645948629142</v>
      </c>
      <c r="S9" s="316">
        <f t="shared" ca="1" si="1"/>
        <v>47881.679219826285</v>
      </c>
      <c r="T9" s="295"/>
      <c r="U9" t="s">
        <v>660</v>
      </c>
      <c r="V9" s="217">
        <v>13</v>
      </c>
      <c r="W9" s="217">
        <v>36</v>
      </c>
      <c r="X9" s="217">
        <v>44</v>
      </c>
      <c r="Y9" s="217">
        <v>14</v>
      </c>
      <c r="Z9" s="217">
        <v>14</v>
      </c>
      <c r="AA9" s="217">
        <v>15</v>
      </c>
    </row>
    <row r="10" spans="2:28">
      <c r="B10" s="9" t="s">
        <v>227</v>
      </c>
      <c r="C10" s="299">
        <f>SUM(C11:C12)</f>
        <v>2351</v>
      </c>
      <c r="D10" s="300">
        <f t="shared" ref="D10:H10" si="2">SUM(D11:D12)</f>
        <v>1237</v>
      </c>
      <c r="E10" s="300">
        <f t="shared" si="2"/>
        <v>1782</v>
      </c>
      <c r="F10" s="300">
        <f>SUM(F11:F12)</f>
        <v>560</v>
      </c>
      <c r="G10" s="300">
        <f t="shared" si="2"/>
        <v>523</v>
      </c>
      <c r="H10" s="300">
        <f t="shared" si="2"/>
        <v>476</v>
      </c>
      <c r="I10" s="266">
        <f ca="1">Rates!H44+Rates!H57</f>
        <v>458.74755453301475</v>
      </c>
      <c r="J10" s="257">
        <f ca="1">Rates!I44+Rates!I57</f>
        <v>2025.8285545330145</v>
      </c>
      <c r="K10" s="257">
        <f ca="1">Rates!J44+Rates!J57</f>
        <v>2230.187709139092</v>
      </c>
      <c r="L10" s="257">
        <f ca="1">Rates!K44+Rates!K57</f>
        <v>2432.9202749867527</v>
      </c>
      <c r="M10" s="257">
        <f ca="1">Rates!L44+Rates!L57</f>
        <v>2612.4870814929345</v>
      </c>
      <c r="N10" s="257">
        <f ca="1">Rates!M44+Rates!M57</f>
        <v>2710.8965543257623</v>
      </c>
      <c r="O10" s="257">
        <f ca="1">Rates!N44+Rates!N57</f>
        <v>2752.053665723839</v>
      </c>
      <c r="P10" s="257">
        <f ca="1">Rates!O44+Rates!O57</f>
        <v>2731.6768953609089</v>
      </c>
      <c r="Q10" s="257">
        <f ca="1">Rates!P44+Rates!P57</f>
        <v>2650.8179529473</v>
      </c>
      <c r="R10" s="257">
        <f ca="1">Rates!Q44+Rates!Q57</f>
        <v>2530.7178181088202</v>
      </c>
      <c r="S10" s="258">
        <f ca="1">Rates!R44+Rates!R57</f>
        <v>2374.2671754829571</v>
      </c>
      <c r="T10" s="295"/>
      <c r="U10" t="s">
        <v>114</v>
      </c>
      <c r="V10" s="217">
        <f t="shared" ref="V10:AA10" si="3">SUM(V6:V9)</f>
        <v>-845</v>
      </c>
      <c r="W10" s="217">
        <f t="shared" si="3"/>
        <v>469</v>
      </c>
      <c r="X10" s="217">
        <f t="shared" si="3"/>
        <v>675</v>
      </c>
      <c r="Y10" s="217">
        <f t="shared" si="3"/>
        <v>228</v>
      </c>
      <c r="Z10" s="217">
        <f t="shared" si="3"/>
        <v>322</v>
      </c>
      <c r="AA10" s="217">
        <f t="shared" si="3"/>
        <v>382</v>
      </c>
    </row>
    <row r="11" spans="2:28">
      <c r="B11" s="318" t="s">
        <v>661</v>
      </c>
      <c r="C11" s="299">
        <v>1234</v>
      </c>
      <c r="D11" s="300">
        <v>621</v>
      </c>
      <c r="E11" s="300">
        <v>717</v>
      </c>
      <c r="F11" s="300">
        <v>216</v>
      </c>
      <c r="G11" s="300">
        <v>212</v>
      </c>
      <c r="H11" s="300">
        <v>199</v>
      </c>
      <c r="I11" s="266">
        <f ca="1">Rates!H57</f>
        <v>208.75298019256331</v>
      </c>
      <c r="J11" s="257">
        <f ca="1">Rates!I57</f>
        <v>992.29348019256315</v>
      </c>
      <c r="K11" s="257">
        <f ca="1">Rates!J57</f>
        <v>1088.7320801868539</v>
      </c>
      <c r="L11" s="257">
        <f ca="1">Rates!K57</f>
        <v>1191.8319077979791</v>
      </c>
      <c r="M11" s="257">
        <f ca="1">Rates!L57</f>
        <v>1284.1894470305101</v>
      </c>
      <c r="N11" s="257">
        <f ca="1">Rates!M57</f>
        <v>1337.2045592840482</v>
      </c>
      <c r="O11" s="257">
        <f ca="1">Rates!N57</f>
        <v>1362.6041017339264</v>
      </c>
      <c r="P11" s="257">
        <f ca="1">Rates!O57</f>
        <v>1358.8456361263841</v>
      </c>
      <c r="Q11" s="257">
        <f ca="1">Rates!P57</f>
        <v>1327.0078836702769</v>
      </c>
      <c r="R11" s="257">
        <f ca="1">Rates!Q57</f>
        <v>1277.7919733265062</v>
      </c>
      <c r="S11" s="258">
        <f ca="1">Rates!R57</f>
        <v>1212.846903016652</v>
      </c>
      <c r="T11" s="295"/>
      <c r="U11" s="295"/>
      <c r="V11" s="810"/>
      <c r="W11" s="810"/>
      <c r="X11" s="810"/>
      <c r="Y11" s="810"/>
      <c r="Z11" s="810"/>
      <c r="AA11" s="810"/>
      <c r="AB11" s="295"/>
    </row>
    <row r="12" spans="2:28">
      <c r="B12" s="318" t="s">
        <v>662</v>
      </c>
      <c r="C12" s="299">
        <v>1117</v>
      </c>
      <c r="D12" s="300">
        <v>616</v>
      </c>
      <c r="E12" s="300">
        <v>1065</v>
      </c>
      <c r="F12" s="300">
        <v>344</v>
      </c>
      <c r="G12" s="300">
        <v>311</v>
      </c>
      <c r="H12" s="300">
        <v>277</v>
      </c>
      <c r="I12" s="266">
        <f ca="1">Rates!H44</f>
        <v>249.99457434045144</v>
      </c>
      <c r="J12" s="257">
        <f ca="1">Rates!I44</f>
        <v>1033.5350743404513</v>
      </c>
      <c r="K12" s="257">
        <f ca="1">Rates!J44</f>
        <v>1141.4556289522382</v>
      </c>
      <c r="L12" s="257">
        <f ca="1">Rates!K44</f>
        <v>1241.0883671887736</v>
      </c>
      <c r="M12" s="257">
        <f ca="1">Rates!L44</f>
        <v>1328.2976344624244</v>
      </c>
      <c r="N12" s="257">
        <f ca="1">Rates!M44</f>
        <v>1373.6919950417141</v>
      </c>
      <c r="O12" s="257">
        <f ca="1">Rates!N44</f>
        <v>1389.4495639899126</v>
      </c>
      <c r="P12" s="257">
        <f ca="1">Rates!O44</f>
        <v>1372.8312592345251</v>
      </c>
      <c r="Q12" s="257">
        <f ca="1">Rates!P44</f>
        <v>1323.8100692770231</v>
      </c>
      <c r="R12" s="257">
        <f ca="1">Rates!Q44</f>
        <v>1252.925844782314</v>
      </c>
      <c r="S12" s="258">
        <f ca="1">Rates!R44</f>
        <v>1161.4202724663053</v>
      </c>
      <c r="T12" s="295"/>
      <c r="U12" s="295"/>
      <c r="V12" s="295"/>
      <c r="W12" s="295"/>
      <c r="X12" s="810"/>
      <c r="Y12" s="810"/>
      <c r="Z12" s="295"/>
      <c r="AA12" s="295"/>
      <c r="AB12" s="295"/>
    </row>
    <row r="13" spans="2:28">
      <c r="B13" s="9" t="s">
        <v>663</v>
      </c>
      <c r="C13" s="304">
        <f>(C49)/C9</f>
        <v>7.8367346938775506E-2</v>
      </c>
      <c r="D13" s="305">
        <f t="shared" ref="D13:H13" si="4">(D49)/D9</f>
        <v>7.2286263208453411E-2</v>
      </c>
      <c r="E13" s="305">
        <f t="shared" si="4"/>
        <v>8.7292198493244502E-2</v>
      </c>
      <c r="F13" s="305">
        <f t="shared" si="4"/>
        <v>8.7167117585848081E-2</v>
      </c>
      <c r="G13" s="305">
        <f t="shared" si="4"/>
        <v>7.5357594936708849E-2</v>
      </c>
      <c r="H13" s="305">
        <f t="shared" si="4"/>
        <v>6.8123622047244092E-2</v>
      </c>
      <c r="I13" s="267">
        <f>I49/I5</f>
        <v>0.18659421627173051</v>
      </c>
      <c r="J13" s="263">
        <f t="shared" ref="J13:S13" si="5">J49/J5</f>
        <v>0.16</v>
      </c>
      <c r="K13" s="263">
        <f t="shared" si="5"/>
        <v>0.15</v>
      </c>
      <c r="L13" s="263">
        <f t="shared" si="5"/>
        <v>0.13999999999999999</v>
      </c>
      <c r="M13" s="263">
        <f t="shared" si="5"/>
        <v>0.12999999999999998</v>
      </c>
      <c r="N13" s="263">
        <f t="shared" si="5"/>
        <v>0.11999999999999998</v>
      </c>
      <c r="O13" s="263">
        <f t="shared" si="5"/>
        <v>0.10999999999999999</v>
      </c>
      <c r="P13" s="263">
        <f t="shared" si="5"/>
        <v>9.9999999999999992E-2</v>
      </c>
      <c r="Q13" s="263">
        <f t="shared" si="5"/>
        <v>0.09</v>
      </c>
      <c r="R13" s="263">
        <f t="shared" si="5"/>
        <v>0.08</v>
      </c>
      <c r="S13" s="319">
        <f t="shared" si="5"/>
        <v>7.0000000000000007E-2</v>
      </c>
      <c r="T13" s="295"/>
      <c r="U13" s="295"/>
      <c r="V13" s="295"/>
      <c r="W13" s="295"/>
      <c r="X13" s="810"/>
      <c r="Y13" s="811"/>
      <c r="Z13" s="811"/>
      <c r="AA13" s="811"/>
      <c r="AB13" s="295"/>
    </row>
    <row r="14" spans="2:28">
      <c r="B14" s="9" t="s">
        <v>664</v>
      </c>
      <c r="C14" s="304">
        <f t="shared" ref="C14:H14" si="6">C50/C9</f>
        <v>9.2816326530612239E-2</v>
      </c>
      <c r="D14" s="305">
        <f t="shared" si="6"/>
        <v>2.0092859430035224E-2</v>
      </c>
      <c r="E14" s="305">
        <f t="shared" si="6"/>
        <v>1.2203474254405081E-2</v>
      </c>
      <c r="F14" s="305">
        <f t="shared" si="6"/>
        <v>1.730613943808533E-2</v>
      </c>
      <c r="G14" s="305">
        <f t="shared" si="6"/>
        <v>1.5648734177215191E-2</v>
      </c>
      <c r="H14" s="305">
        <f t="shared" si="6"/>
        <v>1.495118110236221E-2</v>
      </c>
      <c r="I14" s="267">
        <f t="shared" ref="I14:S14" si="7">I50/I6</f>
        <v>9.4431420017778725E-2</v>
      </c>
      <c r="J14" s="263">
        <f t="shared" si="7"/>
        <v>8.400562949282335E-2</v>
      </c>
      <c r="K14" s="263">
        <f t="shared" si="7"/>
        <v>7.9005629492823345E-2</v>
      </c>
      <c r="L14" s="263">
        <f t="shared" si="7"/>
        <v>7.4005629492823355E-2</v>
      </c>
      <c r="M14" s="263">
        <f t="shared" si="7"/>
        <v>6.9005629492823337E-2</v>
      </c>
      <c r="N14" s="263">
        <f t="shared" si="7"/>
        <v>6.4005629492823332E-2</v>
      </c>
      <c r="O14" s="263">
        <f t="shared" si="7"/>
        <v>5.9005629492823342E-2</v>
      </c>
      <c r="P14" s="263">
        <f t="shared" si="7"/>
        <v>5.4005629492823337E-2</v>
      </c>
      <c r="Q14" s="263">
        <f t="shared" si="7"/>
        <v>4.9005629492823347E-2</v>
      </c>
      <c r="R14" s="263">
        <f t="shared" si="7"/>
        <v>4.4005629492823349E-2</v>
      </c>
      <c r="S14" s="319">
        <f t="shared" si="7"/>
        <v>3.9005629492823359E-2</v>
      </c>
      <c r="T14" s="295"/>
      <c r="U14" s="295"/>
      <c r="V14" s="295"/>
      <c r="W14" s="295"/>
      <c r="X14" s="810"/>
      <c r="Y14" s="295"/>
      <c r="Z14" s="295"/>
      <c r="AA14" s="295"/>
      <c r="AB14" s="295"/>
    </row>
    <row r="15" spans="2:28">
      <c r="B15" s="9" t="s">
        <v>665</v>
      </c>
      <c r="C15" s="306">
        <f t="shared" ref="C15:H15" si="8">C51/C9</f>
        <v>2.0979591836734694E-2</v>
      </c>
      <c r="D15" s="307">
        <f t="shared" si="8"/>
        <v>6.644252321485751E-3</v>
      </c>
      <c r="E15" s="307">
        <f t="shared" si="8"/>
        <v>4.9810098997571757E-3</v>
      </c>
      <c r="F15" s="307">
        <f t="shared" si="8"/>
        <v>4.7710718002081176E-3</v>
      </c>
      <c r="G15" s="307">
        <f t="shared" si="8"/>
        <v>5.401700949367089E-3</v>
      </c>
      <c r="H15" s="307">
        <f t="shared" si="8"/>
        <v>4.6659448818897643E-3</v>
      </c>
      <c r="I15" s="269">
        <f t="shared" ref="I15:S15" ca="1" si="9">I51/I7</f>
        <v>-4.0963877058025046E-2</v>
      </c>
      <c r="J15" s="231">
        <f t="shared" ca="1" si="9"/>
        <v>9.4775754731168775E-3</v>
      </c>
      <c r="K15" s="231">
        <f t="shared" ca="1" si="9"/>
        <v>7.4999999999999997E-3</v>
      </c>
      <c r="L15" s="231">
        <f t="shared" ca="1" si="9"/>
        <v>6.9999999999999993E-3</v>
      </c>
      <c r="M15" s="231">
        <f t="shared" ca="1" si="9"/>
        <v>6.4999999999999988E-3</v>
      </c>
      <c r="N15" s="231">
        <f t="shared" ca="1" si="9"/>
        <v>5.9999999999999984E-3</v>
      </c>
      <c r="O15" s="231">
        <f t="shared" ca="1" si="9"/>
        <v>5.4999999999999971E-3</v>
      </c>
      <c r="P15" s="231">
        <f t="shared" ca="1" si="9"/>
        <v>4.9999999999999975E-3</v>
      </c>
      <c r="Q15" s="231">
        <f t="shared" ca="1" si="9"/>
        <v>4.4999999999999971E-3</v>
      </c>
      <c r="R15" s="231">
        <f t="shared" ca="1" si="9"/>
        <v>3.9999999999999966E-3</v>
      </c>
      <c r="S15" s="320">
        <f t="shared" ca="1" si="9"/>
        <v>3.4999999999999966E-3</v>
      </c>
      <c r="T15" s="295"/>
      <c r="U15" s="295"/>
      <c r="V15" s="295"/>
      <c r="W15" s="295"/>
      <c r="X15" s="295"/>
      <c r="Y15" s="295"/>
      <c r="Z15" s="295"/>
      <c r="AA15" s="295"/>
      <c r="AB15" s="295"/>
    </row>
    <row r="16" spans="2:28">
      <c r="B16" s="315" t="s">
        <v>666</v>
      </c>
      <c r="C16" s="308">
        <v>0.11</v>
      </c>
      <c r="D16" s="296">
        <v>0.17</v>
      </c>
      <c r="E16" s="296">
        <v>0.18</v>
      </c>
      <c r="F16" s="296">
        <v>0.19900000000000001</v>
      </c>
      <c r="G16" s="296">
        <v>0.20799999999999999</v>
      </c>
      <c r="H16" s="297">
        <v>0.21199999999999999</v>
      </c>
      <c r="I16" s="309">
        <f>Rates!H27</f>
        <v>0.22</v>
      </c>
      <c r="J16" s="224">
        <f>Rates!I27</f>
        <v>0.22</v>
      </c>
      <c r="K16" s="224">
        <f>Rates!J27</f>
        <v>0.23</v>
      </c>
      <c r="L16" s="224">
        <f>Rates!K27</f>
        <v>0.24000000000000002</v>
      </c>
      <c r="M16" s="224">
        <f>Rates!L27</f>
        <v>0.25</v>
      </c>
      <c r="N16" s="224">
        <f>Rates!M27</f>
        <v>0.25</v>
      </c>
      <c r="O16" s="224">
        <f>Rates!N27</f>
        <v>0.25</v>
      </c>
      <c r="P16" s="224">
        <f>Rates!O27</f>
        <v>0.25</v>
      </c>
      <c r="Q16" s="224">
        <f>Rates!P27</f>
        <v>0.25</v>
      </c>
      <c r="R16" s="224">
        <f>Rates!Q27</f>
        <v>0.25</v>
      </c>
      <c r="S16" s="321">
        <f>Rates!R27</f>
        <v>0.25</v>
      </c>
      <c r="T16" s="295"/>
      <c r="U16" s="295"/>
      <c r="V16" s="295"/>
      <c r="W16" s="295"/>
      <c r="X16" s="295"/>
      <c r="Y16" s="295"/>
      <c r="Z16" s="295"/>
      <c r="AA16" s="295"/>
      <c r="AB16" s="295"/>
    </row>
    <row r="17" spans="2:28">
      <c r="B17" s="318" t="s">
        <v>667</v>
      </c>
      <c r="C17" s="267">
        <f>C56/C9</f>
        <v>3.8938775510204082E-2</v>
      </c>
      <c r="D17" s="263">
        <f t="shared" ref="D17:H17" si="10">D56/D9</f>
        <v>3.7303874479666987E-2</v>
      </c>
      <c r="E17" s="263">
        <f>E56/E9</f>
        <v>3.7482099495672751E-2</v>
      </c>
      <c r="F17" s="263">
        <f>F56/F9</f>
        <v>4.358355879292404E-2</v>
      </c>
      <c r="G17" s="263">
        <f t="shared" si="10"/>
        <v>3.7678797468354425E-2</v>
      </c>
      <c r="H17" s="263">
        <f t="shared" si="10"/>
        <v>3.4061811023622046E-2</v>
      </c>
      <c r="I17" s="268">
        <f t="shared" ref="I17:S17" si="11">I56/I5</f>
        <v>9.3297108135865253E-2</v>
      </c>
      <c r="J17" s="310">
        <f t="shared" si="11"/>
        <v>0.08</v>
      </c>
      <c r="K17" s="310">
        <f t="shared" si="11"/>
        <v>7.4999999999999997E-2</v>
      </c>
      <c r="L17" s="310">
        <f t="shared" si="11"/>
        <v>6.9999999999999993E-2</v>
      </c>
      <c r="M17" s="310">
        <f t="shared" si="11"/>
        <v>6.4999999999999988E-2</v>
      </c>
      <c r="N17" s="310">
        <f t="shared" si="11"/>
        <v>5.9999999999999991E-2</v>
      </c>
      <c r="O17" s="310">
        <f t="shared" si="11"/>
        <v>5.4999999999999993E-2</v>
      </c>
      <c r="P17" s="310">
        <f t="shared" si="11"/>
        <v>4.9999999999999996E-2</v>
      </c>
      <c r="Q17" s="310">
        <f t="shared" si="11"/>
        <v>4.4999999999999998E-2</v>
      </c>
      <c r="R17" s="310">
        <f t="shared" si="11"/>
        <v>0.04</v>
      </c>
      <c r="S17" s="322">
        <f t="shared" si="11"/>
        <v>3.5000000000000003E-2</v>
      </c>
      <c r="T17" s="295"/>
      <c r="U17" s="812"/>
      <c r="V17" s="812"/>
      <c r="W17" s="295"/>
      <c r="X17" s="295"/>
      <c r="Y17" s="295"/>
      <c r="Z17" s="295"/>
      <c r="AA17" s="295"/>
      <c r="AB17" s="295"/>
    </row>
    <row r="18" spans="2:28">
      <c r="B18" s="323" t="s">
        <v>668</v>
      </c>
      <c r="C18" s="269">
        <f t="shared" ref="C18:H18" si="12">C64/C9</f>
        <v>3.9428571428571431E-2</v>
      </c>
      <c r="D18" s="231">
        <f t="shared" si="12"/>
        <v>3.4982388728786423E-2</v>
      </c>
      <c r="E18" s="231">
        <f t="shared" si="12"/>
        <v>4.9810098997571758E-2</v>
      </c>
      <c r="F18" s="231">
        <f t="shared" si="12"/>
        <v>4.358355879292404E-2</v>
      </c>
      <c r="G18" s="231">
        <f t="shared" si="12"/>
        <v>3.7678797468354425E-2</v>
      </c>
      <c r="H18" s="231">
        <f t="shared" si="12"/>
        <v>3.4061811023622046E-2</v>
      </c>
      <c r="I18" s="269">
        <f t="shared" ref="I18:S18" si="13">I64/I5</f>
        <v>9.3297108135865253E-2</v>
      </c>
      <c r="J18" s="231">
        <f t="shared" si="13"/>
        <v>0.08</v>
      </c>
      <c r="K18" s="231">
        <f t="shared" si="13"/>
        <v>7.4999999999999997E-2</v>
      </c>
      <c r="L18" s="231">
        <f t="shared" si="13"/>
        <v>6.9999999999999993E-2</v>
      </c>
      <c r="M18" s="231">
        <f t="shared" si="13"/>
        <v>6.4999999999999988E-2</v>
      </c>
      <c r="N18" s="231">
        <f t="shared" si="13"/>
        <v>5.9999999999999991E-2</v>
      </c>
      <c r="O18" s="231">
        <f t="shared" si="13"/>
        <v>5.4999999999999993E-2</v>
      </c>
      <c r="P18" s="231">
        <f t="shared" si="13"/>
        <v>4.9999999999999996E-2</v>
      </c>
      <c r="Q18" s="231">
        <f t="shared" si="13"/>
        <v>4.4999999999999998E-2</v>
      </c>
      <c r="R18" s="231">
        <f t="shared" si="13"/>
        <v>0.04</v>
      </c>
      <c r="S18" s="320">
        <f t="shared" si="13"/>
        <v>3.5000000000000003E-2</v>
      </c>
      <c r="T18" s="295"/>
      <c r="U18" s="813"/>
      <c r="V18" s="813"/>
      <c r="W18" s="295"/>
      <c r="X18" s="295"/>
      <c r="Y18" s="295"/>
      <c r="Z18" s="295"/>
      <c r="AA18" s="295"/>
      <c r="AB18" s="295"/>
    </row>
    <row r="19" spans="2:28">
      <c r="B19" s="315" t="s">
        <v>669</v>
      </c>
      <c r="C19" s="309">
        <v>0.2</v>
      </c>
      <c r="D19" s="224">
        <v>0.21</v>
      </c>
      <c r="E19" s="296">
        <v>0.23</v>
      </c>
      <c r="F19" s="297">
        <v>0.23400000000000001</v>
      </c>
      <c r="G19" s="297">
        <v>0.23200000000000001</v>
      </c>
      <c r="H19" s="297">
        <v>0.23200000000000001</v>
      </c>
      <c r="I19" s="309">
        <f>Rates!H28</f>
        <v>0.24</v>
      </c>
      <c r="J19" s="224">
        <f>Rates!I28</f>
        <v>0.2439433082167205</v>
      </c>
      <c r="K19" s="224">
        <f>Rates!J28</f>
        <v>0.25394330821672051</v>
      </c>
      <c r="L19" s="224">
        <f>Rates!K28</f>
        <v>0.26394330821672052</v>
      </c>
      <c r="M19" s="224">
        <f>Rates!L28</f>
        <v>0.27394330821672053</v>
      </c>
      <c r="N19" s="224">
        <f>Rates!M28</f>
        <v>0.27394330821672053</v>
      </c>
      <c r="O19" s="224">
        <f>Rates!N28</f>
        <v>0.27394330821672053</v>
      </c>
      <c r="P19" s="224">
        <f>Rates!O28</f>
        <v>0.27394330821672053</v>
      </c>
      <c r="Q19" s="224">
        <f>Rates!P28</f>
        <v>0.27394330821672053</v>
      </c>
      <c r="R19" s="224">
        <f>Rates!Q28</f>
        <v>0.27394330821672053</v>
      </c>
      <c r="S19" s="321">
        <f>Rates!R28</f>
        <v>0.27394330821672053</v>
      </c>
      <c r="T19" s="295"/>
      <c r="U19" s="814"/>
      <c r="V19" s="814"/>
      <c r="W19" s="295"/>
      <c r="X19" s="295"/>
      <c r="Y19" s="295"/>
      <c r="Z19" s="295"/>
      <c r="AA19" s="295"/>
      <c r="AB19" s="295"/>
    </row>
    <row r="20" spans="2:28">
      <c r="B20" s="318" t="s">
        <v>667</v>
      </c>
      <c r="C20" s="267">
        <f t="shared" ref="C20:H20" si="14">C57/C6</f>
        <v>0.1300087489063867</v>
      </c>
      <c r="D20" s="263">
        <f t="shared" si="14"/>
        <v>4.672029702970297E-2</v>
      </c>
      <c r="E20" s="263">
        <f t="shared" si="14"/>
        <v>4.0904198062432721E-2</v>
      </c>
      <c r="F20" s="263">
        <f t="shared" si="14"/>
        <v>4.9853717026378898E-2</v>
      </c>
      <c r="G20" s="263">
        <f t="shared" si="14"/>
        <v>3.8222222222222227E-2</v>
      </c>
      <c r="H20" s="263">
        <f t="shared" si="14"/>
        <v>3.4968692449355444E-2</v>
      </c>
      <c r="I20" s="267">
        <f t="shared" ref="I20:S20" si="15">I57/I6</f>
        <v>4.2735372031459398E-2</v>
      </c>
      <c r="J20" s="263">
        <f t="shared" si="15"/>
        <v>4.0904198062432721E-2</v>
      </c>
      <c r="K20" s="263">
        <f t="shared" si="15"/>
        <v>3.8404198062432719E-2</v>
      </c>
      <c r="L20" s="263">
        <f t="shared" si="15"/>
        <v>3.5904198062432717E-2</v>
      </c>
      <c r="M20" s="263">
        <f t="shared" si="15"/>
        <v>3.3404198062432715E-2</v>
      </c>
      <c r="N20" s="263">
        <f t="shared" si="15"/>
        <v>3.0904198062432719E-2</v>
      </c>
      <c r="O20" s="263">
        <f t="shared" si="15"/>
        <v>2.8404198062432717E-2</v>
      </c>
      <c r="P20" s="263">
        <f t="shared" si="15"/>
        <v>2.5904198062432715E-2</v>
      </c>
      <c r="Q20" s="263">
        <f t="shared" si="15"/>
        <v>2.3404198062432716E-2</v>
      </c>
      <c r="R20" s="263">
        <f t="shared" si="15"/>
        <v>2.0904198062432721E-2</v>
      </c>
      <c r="S20" s="319">
        <f t="shared" si="15"/>
        <v>1.8404198062432722E-2</v>
      </c>
      <c r="T20" s="295"/>
      <c r="U20" s="814"/>
      <c r="V20" s="814"/>
      <c r="W20" s="295"/>
      <c r="X20" s="295"/>
      <c r="Y20" s="295"/>
      <c r="Z20" s="295"/>
      <c r="AA20" s="295"/>
      <c r="AB20" s="295"/>
    </row>
    <row r="21" spans="2:28">
      <c r="B21" s="323" t="s">
        <v>668</v>
      </c>
      <c r="C21" s="269">
        <f t="shared" ref="C21:H21" si="16">C65/C6</f>
        <v>6.8941382327209103E-2</v>
      </c>
      <c r="D21" s="231">
        <f t="shared" si="16"/>
        <v>3.094059405940594E-2</v>
      </c>
      <c r="E21" s="231">
        <f t="shared" si="16"/>
        <v>2.942231790455687E-2</v>
      </c>
      <c r="F21" s="231">
        <f t="shared" si="16"/>
        <v>4.9853717026378898E-2</v>
      </c>
      <c r="G21" s="231">
        <f t="shared" si="16"/>
        <v>3.8222222222222227E-2</v>
      </c>
      <c r="H21" s="231">
        <f t="shared" si="16"/>
        <v>3.4968692449355444E-2</v>
      </c>
      <c r="I21" s="269">
        <f t="shared" ref="I21:S21" si="17">I65/I6</f>
        <v>5.1696047986319327E-2</v>
      </c>
      <c r="J21" s="231">
        <f t="shared" si="17"/>
        <v>4.3101431430390635E-2</v>
      </c>
      <c r="K21" s="231">
        <f t="shared" si="17"/>
        <v>4.0601431430390633E-2</v>
      </c>
      <c r="L21" s="231">
        <f t="shared" si="17"/>
        <v>3.8101431430390631E-2</v>
      </c>
      <c r="M21" s="231">
        <f t="shared" si="17"/>
        <v>3.5601431430390629E-2</v>
      </c>
      <c r="N21" s="231">
        <f t="shared" si="17"/>
        <v>3.3101431430390627E-2</v>
      </c>
      <c r="O21" s="231">
        <f t="shared" si="17"/>
        <v>3.0601431430390624E-2</v>
      </c>
      <c r="P21" s="231">
        <f t="shared" si="17"/>
        <v>2.8101431430390629E-2</v>
      </c>
      <c r="Q21" s="231">
        <f t="shared" si="17"/>
        <v>2.560143143039063E-2</v>
      </c>
      <c r="R21" s="231">
        <f t="shared" si="17"/>
        <v>2.3101431430390632E-2</v>
      </c>
      <c r="S21" s="320">
        <f t="shared" si="17"/>
        <v>2.0601431430390633E-2</v>
      </c>
      <c r="T21" s="295"/>
      <c r="U21" s="295"/>
      <c r="V21" s="295"/>
      <c r="W21" s="295"/>
      <c r="X21" s="295"/>
      <c r="Y21" s="295"/>
      <c r="Z21" s="295"/>
      <c r="AA21" s="295"/>
      <c r="AB21" s="295"/>
    </row>
    <row r="22" spans="2:28">
      <c r="B22" s="315" t="s">
        <v>670</v>
      </c>
      <c r="C22" s="834">
        <v>0.01</v>
      </c>
      <c r="D22" s="835">
        <v>0.02</v>
      </c>
      <c r="E22" s="296">
        <v>0.02</v>
      </c>
      <c r="F22" s="297">
        <v>2.5000000000000001E-2</v>
      </c>
      <c r="G22" s="297">
        <v>2.7E-2</v>
      </c>
      <c r="H22" s="297">
        <v>2.9000000000000001E-2</v>
      </c>
      <c r="I22" s="309">
        <f>Rates!H29</f>
        <v>0.03</v>
      </c>
      <c r="J22" s="224">
        <f>Rates!I29</f>
        <v>0.03</v>
      </c>
      <c r="K22" s="224">
        <f>Rates!J29</f>
        <v>3.2500000000000001E-2</v>
      </c>
      <c r="L22" s="224">
        <f>Rates!K29</f>
        <v>3.5000000000000003E-2</v>
      </c>
      <c r="M22" s="224">
        <f>Rates!L29</f>
        <v>3.7500000000000006E-2</v>
      </c>
      <c r="N22" s="224">
        <f>Rates!M29</f>
        <v>4.0000000000000008E-2</v>
      </c>
      <c r="O22" s="224">
        <f>Rates!N29</f>
        <v>4.250000000000001E-2</v>
      </c>
      <c r="P22" s="224">
        <f>Rates!O29</f>
        <v>4.5000000000000012E-2</v>
      </c>
      <c r="Q22" s="224">
        <f>Rates!P29</f>
        <v>4.7500000000000014E-2</v>
      </c>
      <c r="R22" s="224">
        <f>Rates!Q29</f>
        <v>5.0000000000000017E-2</v>
      </c>
      <c r="S22" s="321">
        <f>Rates!R29</f>
        <v>5.2500000000000019E-2</v>
      </c>
      <c r="T22" s="295"/>
      <c r="U22" s="295"/>
      <c r="V22" s="295"/>
      <c r="W22" s="295"/>
      <c r="X22" s="295"/>
      <c r="Y22" s="295"/>
      <c r="Z22" s="295"/>
      <c r="AA22" s="295"/>
      <c r="AB22" s="295"/>
    </row>
    <row r="23" spans="2:28">
      <c r="B23" s="318" t="s">
        <v>667</v>
      </c>
      <c r="C23" s="836">
        <f t="shared" ref="C23:H23" si="18">C58/C7</f>
        <v>3.6322995250069852E-3</v>
      </c>
      <c r="D23" s="396">
        <f t="shared" si="18"/>
        <v>8.0042689434364994E-4</v>
      </c>
      <c r="E23" s="263">
        <f t="shared" si="18"/>
        <v>0</v>
      </c>
      <c r="F23" s="263">
        <f t="shared" si="18"/>
        <v>8.446941783345617E-3</v>
      </c>
      <c r="G23" s="263">
        <f t="shared" si="18"/>
        <v>9.1463496316142E-3</v>
      </c>
      <c r="H23" s="263">
        <f t="shared" si="18"/>
        <v>7.8642999336429997E-3</v>
      </c>
      <c r="I23" s="267">
        <f t="shared" ref="I23:S23" ca="1" si="19">I58/I7</f>
        <v>-4.5698220913770647E-2</v>
      </c>
      <c r="J23" s="263">
        <f t="shared" ca="1" si="19"/>
        <v>1.4775754731168784E-3</v>
      </c>
      <c r="K23" s="263">
        <f t="shared" ca="1" si="19"/>
        <v>0</v>
      </c>
      <c r="L23" s="263">
        <f t="shared" ca="1" si="19"/>
        <v>0</v>
      </c>
      <c r="M23" s="263">
        <f t="shared" ca="1" si="19"/>
        <v>0</v>
      </c>
      <c r="N23" s="263">
        <f t="shared" ca="1" si="19"/>
        <v>0</v>
      </c>
      <c r="O23" s="263">
        <f t="shared" ca="1" si="19"/>
        <v>0</v>
      </c>
      <c r="P23" s="263">
        <f t="shared" ca="1" si="19"/>
        <v>0</v>
      </c>
      <c r="Q23" s="263">
        <f t="shared" ca="1" si="19"/>
        <v>0</v>
      </c>
      <c r="R23" s="263">
        <f t="shared" ca="1" si="19"/>
        <v>0</v>
      </c>
      <c r="S23" s="319">
        <f t="shared" ca="1" si="19"/>
        <v>0</v>
      </c>
      <c r="T23" s="295"/>
      <c r="U23" s="295"/>
      <c r="V23" s="295"/>
      <c r="W23" s="295"/>
      <c r="X23" s="295"/>
      <c r="Y23" s="295"/>
      <c r="Z23" s="295"/>
      <c r="AA23" s="295"/>
      <c r="AB23" s="295"/>
    </row>
    <row r="24" spans="2:28">
      <c r="B24" s="323" t="s">
        <v>668</v>
      </c>
      <c r="C24" s="267">
        <f t="shared" ref="C24:H24" si="20">C66/C7</f>
        <v>6.8175468007823412E-2</v>
      </c>
      <c r="D24" s="263">
        <f t="shared" si="20"/>
        <v>2.1344717182497332E-2</v>
      </c>
      <c r="E24" s="263">
        <f t="shared" si="20"/>
        <v>1.7425397516880853E-2</v>
      </c>
      <c r="F24" s="263">
        <f t="shared" si="20"/>
        <v>8.446941783345617E-3</v>
      </c>
      <c r="G24" s="263">
        <f t="shared" si="20"/>
        <v>9.1463496316142E-3</v>
      </c>
      <c r="H24" s="263">
        <f t="shared" si="20"/>
        <v>7.8642999336429997E-3</v>
      </c>
      <c r="I24" s="267">
        <f t="shared" ref="I24:S24" ca="1" si="21">I66/I7</f>
        <v>4.7343438557456031E-3</v>
      </c>
      <c r="J24" s="263">
        <f t="shared" ca="1" si="21"/>
        <v>8.0000000000000002E-3</v>
      </c>
      <c r="K24" s="263">
        <f t="shared" ca="1" si="21"/>
        <v>7.4999999999999997E-3</v>
      </c>
      <c r="L24" s="263">
        <f t="shared" ca="1" si="21"/>
        <v>6.9999999999999993E-3</v>
      </c>
      <c r="M24" s="263">
        <f t="shared" ca="1" si="21"/>
        <v>6.4999999999999988E-3</v>
      </c>
      <c r="N24" s="263">
        <f t="shared" ca="1" si="21"/>
        <v>5.9999999999999984E-3</v>
      </c>
      <c r="O24" s="263">
        <f t="shared" ca="1" si="21"/>
        <v>5.4999999999999971E-3</v>
      </c>
      <c r="P24" s="263">
        <f t="shared" ca="1" si="21"/>
        <v>4.9999999999999975E-3</v>
      </c>
      <c r="Q24" s="263">
        <f t="shared" ca="1" si="21"/>
        <v>4.4999999999999971E-3</v>
      </c>
      <c r="R24" s="263">
        <f t="shared" ca="1" si="21"/>
        <v>3.9999999999999966E-3</v>
      </c>
      <c r="S24" s="319">
        <f t="shared" ca="1" si="21"/>
        <v>3.4999999999999966E-3</v>
      </c>
      <c r="T24" s="295"/>
      <c r="U24" s="295"/>
      <c r="V24" s="295"/>
      <c r="W24" s="295"/>
      <c r="X24" s="295"/>
      <c r="Y24" s="295"/>
      <c r="Z24" s="295"/>
      <c r="AA24" s="295"/>
      <c r="AB24" s="295"/>
    </row>
    <row r="25" spans="2:28">
      <c r="B25" s="315" t="s">
        <v>671</v>
      </c>
      <c r="C25" s="311">
        <v>1</v>
      </c>
      <c r="D25" s="229">
        <v>1</v>
      </c>
      <c r="E25" s="229">
        <v>1</v>
      </c>
      <c r="F25" s="229">
        <v>1</v>
      </c>
      <c r="G25" s="229">
        <v>1</v>
      </c>
      <c r="H25" s="229">
        <v>1</v>
      </c>
      <c r="I25" s="309">
        <f>Rates!H30</f>
        <v>1</v>
      </c>
      <c r="J25" s="224">
        <f>Rates!I30</f>
        <v>1</v>
      </c>
      <c r="K25" s="224">
        <f>Rates!J30</f>
        <v>1</v>
      </c>
      <c r="L25" s="224">
        <f>Rates!K30</f>
        <v>1</v>
      </c>
      <c r="M25" s="224">
        <f>Rates!L30</f>
        <v>1</v>
      </c>
      <c r="N25" s="224">
        <f>Rates!M30</f>
        <v>1</v>
      </c>
      <c r="O25" s="224">
        <f>Rates!N30</f>
        <v>1</v>
      </c>
      <c r="P25" s="224">
        <f>Rates!O30</f>
        <v>1</v>
      </c>
      <c r="Q25" s="224">
        <f>Rates!P30</f>
        <v>1</v>
      </c>
      <c r="R25" s="224">
        <f>Rates!Q30</f>
        <v>1</v>
      </c>
      <c r="S25" s="321">
        <f>Rates!R30</f>
        <v>1</v>
      </c>
      <c r="T25" s="295"/>
      <c r="U25" s="295"/>
      <c r="V25" s="295"/>
      <c r="W25" s="295"/>
      <c r="X25" s="295"/>
      <c r="Y25" s="295"/>
      <c r="Z25" s="295"/>
      <c r="AA25" s="295"/>
      <c r="AB25" s="295"/>
    </row>
    <row r="26" spans="2:28">
      <c r="B26" s="318" t="s">
        <v>667</v>
      </c>
      <c r="C26" s="267">
        <f t="shared" ref="C26:H26" si="22">C59/C8</f>
        <v>0.1111111111111111</v>
      </c>
      <c r="D26" s="263">
        <f t="shared" si="22"/>
        <v>4.5454545454545456E-2</v>
      </c>
      <c r="E26" s="263">
        <f t="shared" si="22"/>
        <v>0</v>
      </c>
      <c r="F26" s="263">
        <f t="shared" si="22"/>
        <v>0.36538461538461536</v>
      </c>
      <c r="G26" s="263">
        <f t="shared" si="22"/>
        <v>0.36538461538461536</v>
      </c>
      <c r="H26" s="263">
        <f t="shared" si="22"/>
        <v>0.34375</v>
      </c>
      <c r="I26" s="267">
        <f t="shared" ref="I26:S26" ca="1" si="23">I59/I8</f>
        <v>0.32909967845659144</v>
      </c>
      <c r="J26" s="263">
        <f t="shared" ca="1" si="23"/>
        <v>0.34999999999999992</v>
      </c>
      <c r="K26" s="263">
        <f t="shared" ca="1" si="23"/>
        <v>0.3</v>
      </c>
      <c r="L26" s="263">
        <f t="shared" ca="1" si="23"/>
        <v>0.3</v>
      </c>
      <c r="M26" s="263">
        <f t="shared" ca="1" si="23"/>
        <v>0.3</v>
      </c>
      <c r="N26" s="263">
        <f t="shared" ca="1" si="23"/>
        <v>0.3</v>
      </c>
      <c r="O26" s="263">
        <f t="shared" ca="1" si="23"/>
        <v>0.3</v>
      </c>
      <c r="P26" s="263">
        <f t="shared" ca="1" si="23"/>
        <v>0.3</v>
      </c>
      <c r="Q26" s="263">
        <f t="shared" ca="1" si="23"/>
        <v>0.3</v>
      </c>
      <c r="R26" s="263">
        <f t="shared" ca="1" si="23"/>
        <v>0.3</v>
      </c>
      <c r="S26" s="319">
        <f t="shared" ca="1" si="23"/>
        <v>0.3</v>
      </c>
      <c r="T26" s="295"/>
      <c r="U26" s="295"/>
      <c r="V26" s="295"/>
      <c r="W26" s="295"/>
      <c r="X26" s="295"/>
      <c r="Y26" s="295"/>
      <c r="Z26" s="295"/>
      <c r="AA26" s="295"/>
      <c r="AB26" s="295"/>
    </row>
    <row r="27" spans="2:28" ht="15.75" thickBot="1">
      <c r="B27" s="324" t="s">
        <v>668</v>
      </c>
      <c r="C27" s="325">
        <f t="shared" ref="C27:H27" si="24">C67/C8</f>
        <v>-0.55555555555555558</v>
      </c>
      <c r="D27" s="326">
        <f t="shared" si="24"/>
        <v>0</v>
      </c>
      <c r="E27" s="326">
        <f t="shared" si="24"/>
        <v>0.67320261437908502</v>
      </c>
      <c r="F27" s="326">
        <f t="shared" si="24"/>
        <v>0.36538461538461536</v>
      </c>
      <c r="G27" s="326">
        <f t="shared" si="24"/>
        <v>0.36538461538461536</v>
      </c>
      <c r="H27" s="326">
        <f t="shared" si="24"/>
        <v>0.34375</v>
      </c>
      <c r="I27" s="325">
        <f t="shared" ref="I27:S27" ca="1" si="25">I67/I8</f>
        <v>0.32909967845659144</v>
      </c>
      <c r="J27" s="326">
        <f t="shared" ca="1" si="25"/>
        <v>0.34999999999999992</v>
      </c>
      <c r="K27" s="326">
        <f t="shared" ca="1" si="25"/>
        <v>0.3</v>
      </c>
      <c r="L27" s="326">
        <f t="shared" ca="1" si="25"/>
        <v>0.27499999999999997</v>
      </c>
      <c r="M27" s="326">
        <f t="shared" ca="1" si="25"/>
        <v>0.24999999999999994</v>
      </c>
      <c r="N27" s="326">
        <f t="shared" ca="1" si="25"/>
        <v>0.22499999999999998</v>
      </c>
      <c r="O27" s="326">
        <f t="shared" ca="1" si="25"/>
        <v>0.2</v>
      </c>
      <c r="P27" s="326">
        <f t="shared" ca="1" si="25"/>
        <v>0.17500000000000002</v>
      </c>
      <c r="Q27" s="326">
        <f t="shared" ca="1" si="25"/>
        <v>0.15</v>
      </c>
      <c r="R27" s="326">
        <f t="shared" ca="1" si="25"/>
        <v>0.125</v>
      </c>
      <c r="S27" s="327">
        <f t="shared" ca="1" si="25"/>
        <v>0.1</v>
      </c>
      <c r="T27" s="295"/>
      <c r="U27" s="295"/>
      <c r="V27" s="295"/>
      <c r="W27" s="295"/>
      <c r="X27" s="295"/>
      <c r="Y27" s="295"/>
      <c r="Z27" s="295"/>
      <c r="AA27" s="295"/>
      <c r="AB27" s="295"/>
    </row>
    <row r="28" spans="2:28">
      <c r="B28" s="295"/>
      <c r="C28" s="295"/>
      <c r="D28" s="295"/>
      <c r="E28" s="295"/>
      <c r="F28" s="295"/>
      <c r="G28" s="295"/>
      <c r="H28" s="295"/>
      <c r="I28" s="295"/>
      <c r="J28" s="295"/>
      <c r="K28" s="295"/>
      <c r="L28" s="295"/>
      <c r="M28" s="295"/>
      <c r="N28" s="295"/>
      <c r="O28" s="295"/>
      <c r="P28" s="295"/>
      <c r="Q28" s="295"/>
      <c r="R28" s="295"/>
      <c r="S28" s="295"/>
      <c r="T28" s="295"/>
      <c r="U28" s="295"/>
      <c r="V28" s="295"/>
      <c r="W28" s="295"/>
      <c r="X28" s="295"/>
      <c r="Y28" s="295"/>
      <c r="Z28" s="295"/>
      <c r="AA28" s="295"/>
      <c r="AB28" s="295"/>
    </row>
    <row r="29" spans="2:28">
      <c r="B29" s="295"/>
      <c r="C29" s="295"/>
      <c r="D29" s="295"/>
      <c r="E29" s="295"/>
      <c r="F29" s="295"/>
      <c r="G29" s="295"/>
      <c r="H29" s="295"/>
      <c r="I29" s="295"/>
      <c r="J29" s="295"/>
      <c r="K29" s="295"/>
      <c r="L29" s="295"/>
      <c r="M29" s="295"/>
      <c r="N29" s="295"/>
      <c r="O29" s="295"/>
      <c r="P29" s="295"/>
      <c r="Q29" s="295"/>
      <c r="R29" s="295"/>
      <c r="S29" s="295"/>
      <c r="T29" s="295"/>
      <c r="U29" s="295"/>
      <c r="V29" s="295"/>
      <c r="W29" s="295"/>
      <c r="X29" s="295"/>
      <c r="Y29" s="295"/>
      <c r="Z29" s="295"/>
      <c r="AA29" s="295"/>
      <c r="AB29" s="295"/>
    </row>
    <row r="30" spans="2:28">
      <c r="B30" s="295"/>
      <c r="C30" s="295"/>
      <c r="D30" s="295"/>
      <c r="E30" s="295"/>
      <c r="F30" s="808"/>
      <c r="G30" s="295"/>
      <c r="H30" s="295"/>
      <c r="I30" s="295"/>
      <c r="J30" s="376"/>
      <c r="K30" s="295"/>
      <c r="L30" s="295"/>
      <c r="M30" s="295"/>
      <c r="N30" s="295"/>
      <c r="O30" s="295"/>
      <c r="P30" s="295"/>
      <c r="Q30" s="295"/>
      <c r="R30" s="295"/>
      <c r="S30" s="295"/>
      <c r="T30" s="295"/>
      <c r="U30" s="295"/>
      <c r="V30" s="295"/>
      <c r="W30" s="295"/>
      <c r="X30" s="295"/>
      <c r="Y30" s="295"/>
      <c r="Z30" s="295"/>
      <c r="AA30" s="295"/>
      <c r="AB30" s="295"/>
    </row>
    <row r="31" spans="2:28">
      <c r="B31" s="295"/>
      <c r="C31" s="295"/>
      <c r="D31" s="295"/>
      <c r="E31" s="295"/>
      <c r="F31" s="295"/>
      <c r="G31" s="295"/>
      <c r="H31" s="295"/>
      <c r="I31" s="809"/>
      <c r="J31" s="809"/>
      <c r="K31" s="295"/>
      <c r="L31" s="295"/>
      <c r="M31" s="295"/>
      <c r="N31" s="295"/>
      <c r="O31" s="295"/>
      <c r="P31" s="295"/>
      <c r="Q31" s="295"/>
      <c r="R31" s="295"/>
      <c r="S31" s="295"/>
      <c r="T31" s="295"/>
      <c r="U31" s="295"/>
      <c r="V31" s="295"/>
      <c r="W31" s="295"/>
      <c r="X31" s="295"/>
      <c r="Y31" s="295"/>
      <c r="Z31" s="295"/>
      <c r="AA31" s="295"/>
      <c r="AB31" s="295"/>
    </row>
    <row r="32" spans="2:28">
      <c r="B32" s="397" t="s">
        <v>672</v>
      </c>
      <c r="C32" s="397"/>
      <c r="D32" s="397"/>
      <c r="E32" s="214"/>
      <c r="F32" s="214"/>
      <c r="G32" s="214"/>
      <c r="H32" s="214"/>
      <c r="I32" s="214"/>
      <c r="J32" s="214"/>
      <c r="K32" s="214"/>
      <c r="L32" s="214"/>
      <c r="M32" s="214"/>
      <c r="N32" s="214"/>
      <c r="O32" s="214"/>
      <c r="P32" s="214"/>
      <c r="Q32" s="214"/>
      <c r="R32" s="214"/>
      <c r="S32" s="214"/>
      <c r="T32" s="295"/>
      <c r="U32" s="295"/>
      <c r="V32" s="295"/>
      <c r="W32" s="295"/>
      <c r="X32" s="295"/>
      <c r="Y32" s="295"/>
      <c r="Z32" s="295"/>
      <c r="AA32" s="295"/>
      <c r="AB32" s="295"/>
    </row>
    <row r="33" spans="2:30">
      <c r="C33" s="397" t="s">
        <v>209</v>
      </c>
      <c r="D33" s="397" t="s">
        <v>210</v>
      </c>
      <c r="E33" s="397" t="s">
        <v>211</v>
      </c>
      <c r="F33" s="397" t="s">
        <v>212</v>
      </c>
      <c r="G33" s="397" t="s">
        <v>213</v>
      </c>
      <c r="H33" s="397" t="s">
        <v>214</v>
      </c>
      <c r="I33" s="398" t="s">
        <v>215</v>
      </c>
      <c r="J33" s="398" t="s">
        <v>216</v>
      </c>
      <c r="K33" s="398" t="s">
        <v>217</v>
      </c>
      <c r="L33" s="398" t="s">
        <v>218</v>
      </c>
      <c r="M33" s="398" t="s">
        <v>219</v>
      </c>
      <c r="N33" s="398" t="s">
        <v>220</v>
      </c>
      <c r="O33" s="398" t="s">
        <v>221</v>
      </c>
      <c r="P33" s="398" t="s">
        <v>222</v>
      </c>
      <c r="Q33" s="398" t="s">
        <v>223</v>
      </c>
      <c r="R33" s="398" t="s">
        <v>224</v>
      </c>
      <c r="S33" s="399" t="s">
        <v>225</v>
      </c>
      <c r="T33" s="295"/>
      <c r="U33" s="295"/>
      <c r="V33" s="295"/>
      <c r="W33" s="295"/>
      <c r="X33" s="295"/>
      <c r="Y33" s="295"/>
      <c r="Z33" s="295"/>
      <c r="AA33" s="295"/>
      <c r="AB33" s="811"/>
    </row>
    <row r="34" spans="2:30">
      <c r="B34" s="69" t="s">
        <v>673</v>
      </c>
      <c r="C34" s="69"/>
      <c r="D34" s="69"/>
      <c r="E34" s="69"/>
      <c r="T34" s="295"/>
      <c r="U34" s="295"/>
      <c r="V34" s="295"/>
      <c r="W34" s="295"/>
      <c r="X34" s="295"/>
      <c r="Y34" s="295"/>
      <c r="Z34" s="295"/>
      <c r="AA34" s="295"/>
      <c r="AB34" s="295"/>
    </row>
    <row r="35" spans="2:30">
      <c r="B35" s="77" t="s">
        <v>527</v>
      </c>
      <c r="C35" s="79">
        <f>C5*Rates!B27</f>
        <v>322</v>
      </c>
      <c r="D35" s="79">
        <f>D5*Rates!C27</f>
        <v>908.00000000000011</v>
      </c>
      <c r="E35" s="79">
        <f>E5*Rates!D27</f>
        <v>1550</v>
      </c>
      <c r="F35" s="79">
        <f>F5*F16</f>
        <v>509.83800000000002</v>
      </c>
      <c r="G35" s="79">
        <f>G5*G16</f>
        <v>515.00799999999992</v>
      </c>
      <c r="H35" s="79">
        <f>H5*H16</f>
        <v>517.06799999999998</v>
      </c>
      <c r="I35" s="79">
        <f>I5*I16</f>
        <v>416.98239522056861</v>
      </c>
      <c r="J35" s="79">
        <f t="shared" ref="J35:S35" si="26">J5*J16</f>
        <v>2061.9223952205684</v>
      </c>
      <c r="K35" s="79">
        <f t="shared" si="26"/>
        <v>2478.1018726513544</v>
      </c>
      <c r="L35" s="79">
        <f t="shared" si="26"/>
        <v>2977.6940181430255</v>
      </c>
      <c r="M35" s="79">
        <f t="shared" si="26"/>
        <v>3546.0893590895621</v>
      </c>
      <c r="N35" s="79">
        <f t="shared" si="26"/>
        <v>3940.8344861240898</v>
      </c>
      <c r="O35" s="79">
        <f t="shared" si="26"/>
        <v>4271.5609480587555</v>
      </c>
      <c r="P35" s="79">
        <f t="shared" si="26"/>
        <v>4564.319535979279</v>
      </c>
      <c r="Q35" s="79">
        <f t="shared" si="26"/>
        <v>4820.4563700165008</v>
      </c>
      <c r="R35" s="79">
        <f t="shared" si="26"/>
        <v>5081.6236656876545</v>
      </c>
      <c r="S35" s="79">
        <f t="shared" si="26"/>
        <v>5335.3694618101026</v>
      </c>
      <c r="T35" s="295"/>
      <c r="U35" s="295"/>
      <c r="V35" s="295"/>
      <c r="W35" s="295"/>
      <c r="X35" s="295"/>
      <c r="Y35" s="295"/>
      <c r="Z35" s="295"/>
      <c r="AA35" s="295"/>
      <c r="AB35" s="295"/>
    </row>
    <row r="36" spans="2:30">
      <c r="B36" s="77" t="s">
        <v>528</v>
      </c>
      <c r="C36" s="79">
        <f>C6*Rates!B28</f>
        <v>1146</v>
      </c>
      <c r="D36" s="79">
        <f>D6*Rates!C28</f>
        <v>689</v>
      </c>
      <c r="E36" s="79">
        <f>E6*Rates!D28</f>
        <v>652</v>
      </c>
      <c r="F36" s="79">
        <f>F19*F6</f>
        <v>195.15600000000001</v>
      </c>
      <c r="G36" s="79">
        <f>G19*G6</f>
        <v>240.12</v>
      </c>
      <c r="H36" s="79">
        <f>H19*H6</f>
        <v>251.95200000000003</v>
      </c>
      <c r="I36" s="79">
        <f>I19*I6</f>
        <v>230.39715123382419</v>
      </c>
      <c r="J36" s="79">
        <f>J19*J6</f>
        <v>955.03515609577221</v>
      </c>
      <c r="K36" s="79">
        <f t="shared" ref="K36:S36" si="27">K19*K6</f>
        <v>1365.42678223343</v>
      </c>
      <c r="L36" s="79">
        <f t="shared" si="27"/>
        <v>1759.0082102813092</v>
      </c>
      <c r="M36" s="79">
        <f t="shared" si="27"/>
        <v>2199.8509005145384</v>
      </c>
      <c r="N36" s="79">
        <f t="shared" si="27"/>
        <v>2538.536249591064</v>
      </c>
      <c r="O36" s="79">
        <f t="shared" si="27"/>
        <v>2946.0516366628949</v>
      </c>
      <c r="P36" s="79">
        <f t="shared" si="27"/>
        <v>3328.670940121146</v>
      </c>
      <c r="Q36" s="79">
        <f t="shared" si="27"/>
        <v>3659.5335325689271</v>
      </c>
      <c r="R36" s="79">
        <f t="shared" si="27"/>
        <v>3941.6627302437055</v>
      </c>
      <c r="S36" s="79">
        <f t="shared" si="27"/>
        <v>4206.9942581375653</v>
      </c>
      <c r="T36" s="295"/>
      <c r="U36" s="295"/>
      <c r="V36" s="295"/>
      <c r="W36" s="295"/>
      <c r="X36" s="295"/>
      <c r="Y36" s="295"/>
      <c r="Z36" s="295"/>
      <c r="AA36" s="295"/>
      <c r="AB36" s="295"/>
    </row>
    <row r="37" spans="2:30">
      <c r="B37" s="77" t="s">
        <v>529</v>
      </c>
      <c r="C37" s="79">
        <f>C7*Rates!B29</f>
        <v>28</v>
      </c>
      <c r="D37" s="79">
        <f>D7*Rates!C29</f>
        <v>73</v>
      </c>
      <c r="E37" s="79">
        <f>E7*Rates!D29</f>
        <v>107</v>
      </c>
      <c r="F37" s="79">
        <f>F22*F7</f>
        <v>33.925000000000004</v>
      </c>
      <c r="G37" s="79">
        <f>G22*G7</f>
        <v>40.311</v>
      </c>
      <c r="H37" s="79">
        <f>H22*H7</f>
        <v>43.703000000000003</v>
      </c>
      <c r="I37" s="79">
        <f ca="1">I22*I7</f>
        <v>19.415700000000015</v>
      </c>
      <c r="J37" s="79">
        <f t="shared" ref="J37:S37" ca="1" si="28">J22*J7</f>
        <v>150.12570000000002</v>
      </c>
      <c r="K37" s="79">
        <f t="shared" ca="1" si="28"/>
        <v>177.27343075000005</v>
      </c>
      <c r="L37" s="79">
        <f t="shared" ca="1" si="28"/>
        <v>208.09173486500006</v>
      </c>
      <c r="M37" s="79">
        <f t="shared" ca="1" si="28"/>
        <v>243.02141893162513</v>
      </c>
      <c r="N37" s="79">
        <f t="shared" ca="1" si="28"/>
        <v>282.55290307783616</v>
      </c>
      <c r="O37" s="79">
        <f t="shared" ca="1" si="28"/>
        <v>327.23158087701904</v>
      </c>
      <c r="P37" s="79">
        <f t="shared" ca="1" si="28"/>
        <v>377.6637421651244</v>
      </c>
      <c r="Q37" s="79">
        <f t="shared" ca="1" si="28"/>
        <v>430.53666606824186</v>
      </c>
      <c r="R37" s="79">
        <f t="shared" ca="1" si="28"/>
        <v>489.45220984600132</v>
      </c>
      <c r="S37" s="79">
        <f t="shared" ca="1" si="28"/>
        <v>555.03880596536555</v>
      </c>
      <c r="T37" s="295"/>
      <c r="U37" s="295"/>
      <c r="V37" s="295"/>
      <c r="W37" s="295"/>
      <c r="X37" s="295"/>
      <c r="Y37" s="295"/>
      <c r="Z37" s="295"/>
      <c r="AA37" s="295"/>
      <c r="AB37" s="810"/>
      <c r="AC37" s="217"/>
      <c r="AD37" s="217"/>
    </row>
    <row r="38" spans="2:30">
      <c r="B38" s="77" t="s">
        <v>530</v>
      </c>
      <c r="C38" s="79">
        <f>C8*Rates!B30</f>
        <v>9</v>
      </c>
      <c r="D38" s="79">
        <f>D8*Rates!C30</f>
        <v>38</v>
      </c>
      <c r="E38" s="79">
        <f>E8*Rates!D30</f>
        <v>147</v>
      </c>
      <c r="F38" s="232">
        <f>F8</f>
        <v>52</v>
      </c>
      <c r="G38" s="232">
        <f>G8</f>
        <v>52</v>
      </c>
      <c r="H38" s="232">
        <f>H8</f>
        <v>48</v>
      </c>
      <c r="I38" s="232">
        <f t="shared" ref="I38:S38" ca="1" si="29">I8*I25</f>
        <v>62.199999999999989</v>
      </c>
      <c r="J38" s="232">
        <f t="shared" ca="1" si="29"/>
        <v>214.2</v>
      </c>
      <c r="K38" s="232">
        <f t="shared" ca="1" si="29"/>
        <v>247.19999999999996</v>
      </c>
      <c r="L38" s="232">
        <f t="shared" ca="1" si="29"/>
        <v>280.2</v>
      </c>
      <c r="M38" s="232">
        <f t="shared" ca="1" si="29"/>
        <v>313.2</v>
      </c>
      <c r="N38" s="232">
        <f t="shared" ca="1" si="29"/>
        <v>350.08650963597427</v>
      </c>
      <c r="O38" s="232">
        <f t="shared" ca="1" si="29"/>
        <v>391.31725488218109</v>
      </c>
      <c r="P38" s="232">
        <f t="shared" ca="1" si="29"/>
        <v>437.40386948286624</v>
      </c>
      <c r="Q38" s="232">
        <f t="shared" ca="1" si="29"/>
        <v>488.91824383309677</v>
      </c>
      <c r="R38" s="232">
        <f t="shared" ca="1" si="29"/>
        <v>546.4996215864594</v>
      </c>
      <c r="S38" s="232">
        <f t="shared" ca="1" si="29"/>
        <v>610.86253205167407</v>
      </c>
      <c r="T38" s="295"/>
      <c r="U38" s="295"/>
      <c r="V38" s="295"/>
      <c r="W38" s="295"/>
      <c r="X38" s="295"/>
      <c r="Y38" s="295"/>
      <c r="Z38" s="295"/>
      <c r="AA38" s="295"/>
      <c r="AB38" s="810"/>
    </row>
    <row r="39" spans="2:30">
      <c r="B39" s="20" t="s">
        <v>114</v>
      </c>
      <c r="C39" s="20">
        <f>SUM(C35:C38)</f>
        <v>1505</v>
      </c>
      <c r="D39" s="20">
        <f>SUM(D35:D38)</f>
        <v>1708</v>
      </c>
      <c r="E39" s="20">
        <f>SUM(E35:E38)</f>
        <v>2456</v>
      </c>
      <c r="F39" s="20">
        <f>SUM(F35:F38)</f>
        <v>790.91899999999998</v>
      </c>
      <c r="G39" s="20">
        <f t="shared" ref="G39:S39" si="30">SUM(G35:G38)</f>
        <v>847.43899999999996</v>
      </c>
      <c r="H39" s="20">
        <f t="shared" si="30"/>
        <v>860.72299999999996</v>
      </c>
      <c r="I39" s="20">
        <f t="shared" ca="1" si="30"/>
        <v>728.99524645439283</v>
      </c>
      <c r="J39" s="20">
        <f t="shared" ca="1" si="30"/>
        <v>3381.2832513163407</v>
      </c>
      <c r="K39" s="20">
        <f t="shared" ca="1" si="30"/>
        <v>4268.0020856347846</v>
      </c>
      <c r="L39" s="20">
        <f t="shared" ca="1" si="30"/>
        <v>5224.9939632893347</v>
      </c>
      <c r="M39" s="20">
        <f t="shared" ca="1" si="30"/>
        <v>6302.1616785357246</v>
      </c>
      <c r="N39" s="20">
        <f t="shared" ca="1" si="30"/>
        <v>7112.0101484289644</v>
      </c>
      <c r="O39" s="20">
        <f t="shared" ca="1" si="30"/>
        <v>7936.1614204808502</v>
      </c>
      <c r="P39" s="20">
        <f t="shared" ca="1" si="30"/>
        <v>8708.0580877484172</v>
      </c>
      <c r="Q39" s="20">
        <f t="shared" ca="1" si="30"/>
        <v>9399.4448124867668</v>
      </c>
      <c r="R39" s="20">
        <f t="shared" ca="1" si="30"/>
        <v>10059.238227363821</v>
      </c>
      <c r="S39" s="20">
        <f t="shared" ca="1" si="30"/>
        <v>10708.265057964709</v>
      </c>
      <c r="T39" s="295"/>
      <c r="U39" s="295"/>
      <c r="V39" s="295"/>
      <c r="W39" s="295"/>
      <c r="X39" s="295"/>
      <c r="Y39" s="295"/>
      <c r="Z39" s="295"/>
      <c r="AA39" s="295"/>
      <c r="AB39" s="810"/>
      <c r="AC39" s="217"/>
      <c r="AD39" s="217"/>
    </row>
    <row r="40" spans="2:30">
      <c r="T40" s="295"/>
      <c r="U40" s="295"/>
      <c r="V40" s="295"/>
      <c r="W40" s="295"/>
      <c r="X40" s="295"/>
      <c r="Y40" s="295"/>
      <c r="Z40" s="295"/>
      <c r="AA40" s="295"/>
      <c r="AB40" s="811"/>
      <c r="AC40" s="218"/>
      <c r="AD40" s="218"/>
    </row>
    <row r="41" spans="2:30">
      <c r="B41" s="69" t="s">
        <v>674</v>
      </c>
      <c r="C41" s="69"/>
      <c r="D41" s="69"/>
      <c r="E41" s="69"/>
      <c r="T41" s="295"/>
      <c r="U41" s="295"/>
      <c r="V41" s="295"/>
      <c r="W41" s="295"/>
      <c r="X41" s="295"/>
      <c r="Y41" s="295"/>
      <c r="Z41" s="295"/>
      <c r="AA41" s="295"/>
      <c r="AB41" s="811"/>
      <c r="AC41" s="218"/>
      <c r="AD41" s="218"/>
    </row>
    <row r="42" spans="2:30">
      <c r="B42" s="77" t="s">
        <v>527</v>
      </c>
      <c r="C42" s="217">
        <v>-638</v>
      </c>
      <c r="D42" s="217">
        <v>5</v>
      </c>
      <c r="E42" s="217">
        <v>148</v>
      </c>
      <c r="F42" s="79">
        <f t="shared" ref="F42:H45" si="31">Y6</f>
        <v>91</v>
      </c>
      <c r="G42" s="79">
        <f t="shared" si="31"/>
        <v>134</v>
      </c>
      <c r="H42" s="79">
        <f t="shared" si="31"/>
        <v>171</v>
      </c>
      <c r="I42" s="400">
        <f>I5*(I16-I13)</f>
        <v>63.316471423791405</v>
      </c>
      <c r="J42" s="400">
        <f t="shared" ref="J42:S42" si="32">J5*(J16-J13)</f>
        <v>562.34247142379138</v>
      </c>
      <c r="K42" s="400">
        <f t="shared" si="32"/>
        <v>861.9484774439494</v>
      </c>
      <c r="L42" s="400">
        <f t="shared" si="32"/>
        <v>1240.7058408929277</v>
      </c>
      <c r="M42" s="400">
        <f t="shared" si="32"/>
        <v>1702.1228923629901</v>
      </c>
      <c r="N42" s="400">
        <f t="shared" si="32"/>
        <v>2049.2339327845266</v>
      </c>
      <c r="O42" s="400">
        <f t="shared" si="32"/>
        <v>2392.0741309129035</v>
      </c>
      <c r="P42" s="400">
        <f t="shared" si="32"/>
        <v>2738.5917215875679</v>
      </c>
      <c r="Q42" s="400">
        <f t="shared" si="32"/>
        <v>3085.0920768105607</v>
      </c>
      <c r="R42" s="400">
        <f t="shared" si="32"/>
        <v>3455.5040926676047</v>
      </c>
      <c r="S42" s="400">
        <f t="shared" si="32"/>
        <v>3841.4660125032738</v>
      </c>
      <c r="T42" s="295"/>
      <c r="U42" s="295"/>
      <c r="V42" s="295"/>
      <c r="W42" s="295"/>
      <c r="X42" s="295"/>
      <c r="Y42" s="295"/>
      <c r="Z42" s="295"/>
      <c r="AA42" s="295"/>
      <c r="AB42" s="295"/>
    </row>
    <row r="43" spans="2:30">
      <c r="B43" s="77" t="s">
        <v>528</v>
      </c>
      <c r="C43" s="217">
        <v>9</v>
      </c>
      <c r="D43" s="217">
        <v>438</v>
      </c>
      <c r="E43" s="217">
        <v>456</v>
      </c>
      <c r="F43" s="79">
        <f t="shared" si="31"/>
        <v>112</v>
      </c>
      <c r="G43" s="79">
        <f t="shared" si="31"/>
        <v>161</v>
      </c>
      <c r="H43" s="79">
        <f t="shared" si="31"/>
        <v>176</v>
      </c>
      <c r="I43" s="400">
        <f>I6*(I19-I14)</f>
        <v>139.74410890440362</v>
      </c>
      <c r="J43" s="400">
        <f t="shared" ref="J43:S43" si="33">J6*(J19-J14)</f>
        <v>626.15411376635154</v>
      </c>
      <c r="K43" s="400">
        <f t="shared" si="33"/>
        <v>940.62172155174267</v>
      </c>
      <c r="L43" s="400">
        <f t="shared" si="33"/>
        <v>1265.8094595176544</v>
      </c>
      <c r="M43" s="400">
        <f t="shared" si="33"/>
        <v>1645.7139983629911</v>
      </c>
      <c r="N43" s="400">
        <f t="shared" si="33"/>
        <v>1945.4186016254264</v>
      </c>
      <c r="O43" s="400">
        <f t="shared" si="33"/>
        <v>2311.4910318747893</v>
      </c>
      <c r="P43" s="400">
        <f t="shared" si="33"/>
        <v>2672.4513351746573</v>
      </c>
      <c r="Q43" s="400">
        <f t="shared" si="33"/>
        <v>3004.8807667062943</v>
      </c>
      <c r="R43" s="400">
        <f t="shared" si="33"/>
        <v>3308.4830011168601</v>
      </c>
      <c r="S43" s="400">
        <f t="shared" si="33"/>
        <v>3607.9781318464643</v>
      </c>
      <c r="T43" s="295"/>
      <c r="U43" s="295"/>
      <c r="V43" s="295"/>
      <c r="W43" s="295"/>
      <c r="X43" s="295"/>
      <c r="Y43" s="295"/>
      <c r="Z43" s="295"/>
      <c r="AA43" s="295"/>
      <c r="AB43" s="810"/>
    </row>
    <row r="44" spans="2:30">
      <c r="B44" s="77" t="s">
        <v>529</v>
      </c>
      <c r="C44" s="217">
        <v>-229</v>
      </c>
      <c r="D44" s="217">
        <v>-10</v>
      </c>
      <c r="E44" s="217">
        <v>27</v>
      </c>
      <c r="F44" s="79">
        <f t="shared" si="31"/>
        <v>11</v>
      </c>
      <c r="G44" s="79">
        <f t="shared" si="31"/>
        <v>13</v>
      </c>
      <c r="H44" s="79">
        <f t="shared" si="31"/>
        <v>20</v>
      </c>
      <c r="I44" s="400">
        <f ca="1">I7*(I22-I15)</f>
        <v>45.927111593183263</v>
      </c>
      <c r="J44" s="400">
        <f t="shared" ref="J44:S44" ca="1" si="34">J7*(J22-J15)</f>
        <v>102.69811159318326</v>
      </c>
      <c r="K44" s="400">
        <f t="shared" ca="1" si="34"/>
        <v>136.36417750000004</v>
      </c>
      <c r="L44" s="400">
        <f t="shared" ca="1" si="34"/>
        <v>166.47338789200006</v>
      </c>
      <c r="M44" s="400">
        <f t="shared" ca="1" si="34"/>
        <v>200.89770631681012</v>
      </c>
      <c r="N44" s="400">
        <f t="shared" ca="1" si="34"/>
        <v>240.16996761616076</v>
      </c>
      <c r="O44" s="400">
        <f t="shared" ca="1" si="34"/>
        <v>284.88396452822838</v>
      </c>
      <c r="P44" s="400">
        <f t="shared" ca="1" si="34"/>
        <v>335.70110414677725</v>
      </c>
      <c r="Q44" s="400">
        <f t="shared" ca="1" si="34"/>
        <v>389.74898191440849</v>
      </c>
      <c r="R44" s="400">
        <f t="shared" ca="1" si="34"/>
        <v>450.29603305832131</v>
      </c>
      <c r="S44" s="400">
        <f t="shared" ca="1" si="34"/>
        <v>518.03621890100794</v>
      </c>
      <c r="T44" s="295"/>
      <c r="U44" s="295"/>
      <c r="V44" s="295"/>
      <c r="W44" s="295"/>
      <c r="X44" s="295"/>
      <c r="Y44" s="295"/>
      <c r="Z44" s="295"/>
      <c r="AA44" s="295"/>
      <c r="AB44" s="295"/>
    </row>
    <row r="45" spans="2:30">
      <c r="B45" s="77" t="s">
        <v>530</v>
      </c>
      <c r="C45" s="217">
        <v>13</v>
      </c>
      <c r="D45" s="217">
        <v>36</v>
      </c>
      <c r="E45" s="217">
        <v>44</v>
      </c>
      <c r="F45" s="79">
        <f t="shared" si="31"/>
        <v>14</v>
      </c>
      <c r="G45" s="79">
        <f t="shared" si="31"/>
        <v>14</v>
      </c>
      <c r="H45" s="79">
        <f t="shared" si="31"/>
        <v>15</v>
      </c>
      <c r="I45" s="400">
        <f ca="1">I38</f>
        <v>62.199999999999989</v>
      </c>
      <c r="J45" s="400">
        <f t="shared" ref="J45:S45" ca="1" si="35">J38</f>
        <v>214.2</v>
      </c>
      <c r="K45" s="400">
        <f t="shared" ca="1" si="35"/>
        <v>247.19999999999996</v>
      </c>
      <c r="L45" s="400">
        <f t="shared" ca="1" si="35"/>
        <v>280.2</v>
      </c>
      <c r="M45" s="400">
        <f t="shared" ca="1" si="35"/>
        <v>313.2</v>
      </c>
      <c r="N45" s="400">
        <f t="shared" ca="1" si="35"/>
        <v>350.08650963597427</v>
      </c>
      <c r="O45" s="400">
        <f t="shared" ca="1" si="35"/>
        <v>391.31725488218109</v>
      </c>
      <c r="P45" s="400">
        <f t="shared" ca="1" si="35"/>
        <v>437.40386948286624</v>
      </c>
      <c r="Q45" s="400">
        <f t="shared" ca="1" si="35"/>
        <v>488.91824383309677</v>
      </c>
      <c r="R45" s="400">
        <f t="shared" ca="1" si="35"/>
        <v>546.4996215864594</v>
      </c>
      <c r="S45" s="400">
        <f t="shared" ca="1" si="35"/>
        <v>610.86253205167407</v>
      </c>
      <c r="T45" s="295"/>
      <c r="U45" s="295"/>
      <c r="V45" s="295"/>
      <c r="W45" s="295"/>
      <c r="X45" s="295"/>
      <c r="Y45" s="295"/>
      <c r="Z45" s="295"/>
      <c r="AA45" s="295"/>
      <c r="AB45" s="295"/>
    </row>
    <row r="46" spans="2:30">
      <c r="B46" s="69" t="s">
        <v>114</v>
      </c>
      <c r="C46" s="230">
        <f>SUM(C42:C45)</f>
        <v>-845</v>
      </c>
      <c r="D46" s="230">
        <f>SUM(D42:D45)</f>
        <v>469</v>
      </c>
      <c r="E46" s="230">
        <f>SUM(E42:E45)</f>
        <v>675</v>
      </c>
      <c r="F46" s="219">
        <f>SUM(F42:F45)</f>
        <v>228</v>
      </c>
      <c r="G46" s="20">
        <f t="shared" ref="G46:H46" si="36">SUM(G42:G45)</f>
        <v>322</v>
      </c>
      <c r="H46" s="20">
        <f t="shared" si="36"/>
        <v>382</v>
      </c>
      <c r="I46" s="400">
        <f t="shared" ref="I46:S46" ca="1" si="37">SUM(I42:I45)</f>
        <v>311.18769192137825</v>
      </c>
      <c r="J46" s="400">
        <f t="shared" ca="1" si="37"/>
        <v>1505.3946967833263</v>
      </c>
      <c r="K46" s="400">
        <f t="shared" ca="1" si="37"/>
        <v>2186.1343764956919</v>
      </c>
      <c r="L46" s="400">
        <f t="shared" ca="1" si="37"/>
        <v>2953.1886883025822</v>
      </c>
      <c r="M46" s="400">
        <f t="shared" ca="1" si="37"/>
        <v>3861.9345970427908</v>
      </c>
      <c r="N46" s="400">
        <f t="shared" ca="1" si="37"/>
        <v>4584.9090116620873</v>
      </c>
      <c r="O46" s="400">
        <f t="shared" ca="1" si="37"/>
        <v>5379.7663821981023</v>
      </c>
      <c r="P46" s="400">
        <f t="shared" ca="1" si="37"/>
        <v>6184.1480303918688</v>
      </c>
      <c r="Q46" s="400">
        <f t="shared" ca="1" si="37"/>
        <v>6968.6400692643601</v>
      </c>
      <c r="R46" s="400">
        <f t="shared" ca="1" si="37"/>
        <v>7760.7827484292447</v>
      </c>
      <c r="S46" s="400">
        <f t="shared" ca="1" si="37"/>
        <v>8578.3428953024213</v>
      </c>
      <c r="T46" s="295"/>
      <c r="U46" s="815"/>
      <c r="V46" s="815"/>
      <c r="W46" s="295"/>
      <c r="X46" s="295"/>
      <c r="Y46" s="295"/>
      <c r="Z46" s="295"/>
      <c r="AA46" s="295"/>
      <c r="AB46" s="295"/>
    </row>
    <row r="47" spans="2:30">
      <c r="T47" s="295"/>
      <c r="U47" s="295"/>
      <c r="V47" s="295"/>
      <c r="W47" s="295"/>
      <c r="X47" s="295"/>
      <c r="Y47" s="295"/>
      <c r="Z47" s="295"/>
      <c r="AA47" s="295"/>
      <c r="AB47" s="295"/>
    </row>
    <row r="48" spans="2:30">
      <c r="B48" s="69" t="s">
        <v>675</v>
      </c>
      <c r="C48" s="69"/>
      <c r="D48" s="69"/>
      <c r="E48" s="69"/>
      <c r="T48" s="295"/>
      <c r="U48" s="295"/>
      <c r="V48" s="295"/>
      <c r="W48" s="295"/>
      <c r="X48" s="295"/>
      <c r="Y48" s="295"/>
      <c r="Z48" s="295"/>
      <c r="AA48" s="295"/>
      <c r="AB48" s="295"/>
    </row>
    <row r="49" spans="2:20">
      <c r="B49" s="77" t="s">
        <v>527</v>
      </c>
      <c r="C49" s="79">
        <f>C5*Rates!B60+'Incentives Breakdown'!C5*Rates!B47</f>
        <v>960</v>
      </c>
      <c r="D49" s="79">
        <f>D5*Rates!C60+'Incentives Breakdown'!D5*Rates!C47</f>
        <v>903</v>
      </c>
      <c r="E49" s="79">
        <f>E5*Rates!D60+'Incentives Breakdown'!E5*Rates!D47</f>
        <v>1402</v>
      </c>
      <c r="F49" s="79">
        <f>F35-F42</f>
        <v>418.83800000000002</v>
      </c>
      <c r="G49" s="79">
        <f t="shared" ref="G49:H49" si="38">G35-G42</f>
        <v>381.00799999999992</v>
      </c>
      <c r="H49" s="79">
        <f t="shared" si="38"/>
        <v>346.06799999999998</v>
      </c>
      <c r="I49" s="202">
        <f>Rates!H40+Rates!H53</f>
        <v>353.66592379677718</v>
      </c>
      <c r="J49" s="202">
        <f>Rates!I40+Rates!I53</f>
        <v>1499.5799237967772</v>
      </c>
      <c r="K49" s="202">
        <f>Rates!J40+Rates!J53</f>
        <v>1616.1533952074049</v>
      </c>
      <c r="L49" s="202">
        <f>Rates!K40+Rates!K53</f>
        <v>1736.9881772500978</v>
      </c>
      <c r="M49" s="202">
        <f>Rates!L40+Rates!L53</f>
        <v>1843.966466726572</v>
      </c>
      <c r="N49" s="202">
        <f>Rates!M40+Rates!M53</f>
        <v>1891.6005533395628</v>
      </c>
      <c r="O49" s="202">
        <f>Rates!N40+Rates!N53</f>
        <v>1879.4868171458522</v>
      </c>
      <c r="P49" s="202">
        <f>Rates!O40+Rates!O53</f>
        <v>1825.7278143917115</v>
      </c>
      <c r="Q49" s="202">
        <f>Rates!P40+Rates!P53</f>
        <v>1735.3642932059402</v>
      </c>
      <c r="R49" s="202">
        <f>Rates!Q40+Rates!Q53</f>
        <v>1626.1195730200495</v>
      </c>
      <c r="S49" s="202">
        <f>Rates!R40+Rates!R53</f>
        <v>1493.9034493068289</v>
      </c>
    </row>
    <row r="50" spans="2:20">
      <c r="B50" s="77" t="s">
        <v>528</v>
      </c>
      <c r="C50" s="79">
        <f>C6*Rates!B48+'Incentives Breakdown'!C6*Rates!B61</f>
        <v>1137</v>
      </c>
      <c r="D50" s="79">
        <f>D6*Rates!C48+'Incentives Breakdown'!D6*Rates!C61</f>
        <v>251</v>
      </c>
      <c r="E50" s="79">
        <f>E6*Rates!D48+'Incentives Breakdown'!E6*Rates!D61</f>
        <v>196</v>
      </c>
      <c r="F50" s="79">
        <f>F36-F43</f>
        <v>83.156000000000006</v>
      </c>
      <c r="G50" s="79">
        <f t="shared" ref="G50:H52" si="39">G36-G43</f>
        <v>79.12</v>
      </c>
      <c r="H50" s="79">
        <f t="shared" si="39"/>
        <v>75.952000000000027</v>
      </c>
      <c r="I50" s="202">
        <f>Rates!H41+Rates!H54</f>
        <v>90.653042329420572</v>
      </c>
      <c r="J50" s="202">
        <f>Rates!I41+Rates!I54</f>
        <v>328.88104232942061</v>
      </c>
      <c r="K50" s="202">
        <f>Rates!J41+Rates!J54</f>
        <v>424.80506068168722</v>
      </c>
      <c r="L50" s="202">
        <f>Rates!K41+Rates!K54</f>
        <v>493.19875076365486</v>
      </c>
      <c r="M50" s="202">
        <f>Rates!L41+Rates!L54</f>
        <v>554.13690215154725</v>
      </c>
      <c r="N50" s="202">
        <f>Rates!M41+Rates!M54</f>
        <v>593.11764796563739</v>
      </c>
      <c r="O50" s="202">
        <f>Rates!N41+Rates!N54</f>
        <v>634.56060478810559</v>
      </c>
      <c r="P50" s="202">
        <f>Rates!O41+Rates!O54</f>
        <v>656.21960494648874</v>
      </c>
      <c r="Q50" s="202">
        <f>Rates!P41+Rates!P54</f>
        <v>654.65276586263292</v>
      </c>
      <c r="R50" s="202">
        <f>Rates!Q41+Rates!Q54</f>
        <v>633.17972912684536</v>
      </c>
      <c r="S50" s="202">
        <f>Rates!R41+Rates!R54</f>
        <v>599.01612629110127</v>
      </c>
    </row>
    <row r="51" spans="2:20">
      <c r="B51" s="77" t="s">
        <v>529</v>
      </c>
      <c r="C51" s="79">
        <f>C7*Rates!B49+'Incentives Breakdown'!C7*Rates!B62</f>
        <v>257</v>
      </c>
      <c r="D51" s="79">
        <f>D7*Rates!C49+'Incentives Breakdown'!D7*Rates!C62</f>
        <v>83</v>
      </c>
      <c r="E51" s="79">
        <f>E7*Rates!D49+'Incentives Breakdown'!E7*Rates!D62</f>
        <v>80</v>
      </c>
      <c r="F51" s="79">
        <f>F37-F44</f>
        <v>22.925000000000004</v>
      </c>
      <c r="G51" s="79">
        <f t="shared" si="39"/>
        <v>27.311</v>
      </c>
      <c r="H51" s="79">
        <f t="shared" si="39"/>
        <v>23.703000000000003</v>
      </c>
      <c r="I51" s="202">
        <f ca="1">Rates!H42+Rates!H55</f>
        <v>-26.511411593183251</v>
      </c>
      <c r="J51" s="202">
        <f ca="1">Rates!I42+Rates!I55</f>
        <v>47.427588406816753</v>
      </c>
      <c r="K51" s="202">
        <f ca="1">Rates!J42+Rates!J55</f>
        <v>40.909253250000006</v>
      </c>
      <c r="L51" s="202">
        <f ca="1">Rates!K42+Rates!K55</f>
        <v>41.618346973000008</v>
      </c>
      <c r="M51" s="202">
        <f ca="1">Rates!L42+Rates!L55</f>
        <v>42.123712614815005</v>
      </c>
      <c r="N51" s="202">
        <f ca="1">Rates!M42+Rates!M55</f>
        <v>42.382935461675409</v>
      </c>
      <c r="O51" s="202">
        <f ca="1">Rates!N42+Rates!N55</f>
        <v>42.347616348790673</v>
      </c>
      <c r="P51" s="202">
        <f ca="1">Rates!O42+Rates!O55</f>
        <v>41.962638018347121</v>
      </c>
      <c r="Q51" s="202">
        <f ca="1">Rates!P42+Rates!P55</f>
        <v>40.787684153833403</v>
      </c>
      <c r="R51" s="202">
        <f ca="1">Rates!Q42+Rates!Q55</f>
        <v>39.15617678768006</v>
      </c>
      <c r="S51" s="202">
        <f ca="1">Rates!R42+Rates!R55</f>
        <v>37.002587064357655</v>
      </c>
      <c r="T51" s="226"/>
    </row>
    <row r="52" spans="2:20">
      <c r="B52" s="77" t="s">
        <v>530</v>
      </c>
      <c r="C52" s="79">
        <f>C8*Rates!B50+'Incentives Breakdown'!C8*Rates!B63</f>
        <v>-4</v>
      </c>
      <c r="D52" s="79">
        <f>D8*Rates!C50+'Incentives Breakdown'!D8*Rates!C63</f>
        <v>2</v>
      </c>
      <c r="E52" s="79">
        <f>E8*Rates!D50+'Incentives Breakdown'!E8*Rates!D63</f>
        <v>103.00000000000001</v>
      </c>
      <c r="F52" s="79">
        <f>F38-F45</f>
        <v>38</v>
      </c>
      <c r="G52" s="79">
        <f t="shared" si="39"/>
        <v>38</v>
      </c>
      <c r="H52" s="79">
        <f t="shared" si="39"/>
        <v>33</v>
      </c>
      <c r="I52" s="202">
        <f ca="1">Rates!H43+Rates!H56</f>
        <v>40.939999999999969</v>
      </c>
      <c r="J52" s="202">
        <f ca="1">Rates!I43+Rates!I56</f>
        <v>149.93999999999997</v>
      </c>
      <c r="K52" s="202">
        <f ca="1">Rates!J43+Rates!J56</f>
        <v>148.31999999999996</v>
      </c>
      <c r="L52" s="202">
        <f ca="1">Rates!K43+Rates!K56</f>
        <v>161.11499999999998</v>
      </c>
      <c r="M52" s="202">
        <f ca="1">Rates!L43+Rates!L56</f>
        <v>172.26</v>
      </c>
      <c r="N52" s="202">
        <f ca="1">Rates!M43+Rates!M56</f>
        <v>183.79541755888647</v>
      </c>
      <c r="O52" s="202">
        <f ca="1">Rates!N43+Rates!N56</f>
        <v>195.65862744109054</v>
      </c>
      <c r="P52" s="202">
        <f ca="1">Rates!O43+Rates!O56</f>
        <v>207.76683800436146</v>
      </c>
      <c r="Q52" s="202">
        <f ca="1">Rates!P43+Rates!P56</f>
        <v>220.01320972489353</v>
      </c>
      <c r="R52" s="202">
        <f ca="1">Rates!Q43+Rates!Q56</f>
        <v>232.26233917424523</v>
      </c>
      <c r="S52" s="202">
        <f ca="1">Rates!R43+Rates!R56</f>
        <v>244.34501282066964</v>
      </c>
    </row>
    <row r="53" spans="2:20">
      <c r="B53" s="69" t="s">
        <v>114</v>
      </c>
      <c r="C53" s="225">
        <f>SUM(C49:C52)</f>
        <v>2350</v>
      </c>
      <c r="D53" s="225">
        <f>SUM(D49:D52)</f>
        <v>1239</v>
      </c>
      <c r="E53" s="225">
        <f>SUM(E49:E52)</f>
        <v>1781</v>
      </c>
      <c r="F53" s="225">
        <f>SUM(F49:F52)</f>
        <v>562.91899999999998</v>
      </c>
      <c r="G53" s="20">
        <f t="shared" ref="G53:S53" si="40">SUM(G49:G52)</f>
        <v>525.43899999999985</v>
      </c>
      <c r="H53" s="20">
        <f t="shared" si="40"/>
        <v>478.72299999999996</v>
      </c>
      <c r="I53" s="270">
        <f t="shared" ca="1" si="40"/>
        <v>458.74755453301452</v>
      </c>
      <c r="J53" s="270">
        <f t="shared" ca="1" si="40"/>
        <v>2025.8285545330145</v>
      </c>
      <c r="K53" s="270">
        <f t="shared" ca="1" si="40"/>
        <v>2230.187709139092</v>
      </c>
      <c r="L53" s="270">
        <f t="shared" ca="1" si="40"/>
        <v>2432.9202749867522</v>
      </c>
      <c r="M53" s="270">
        <f t="shared" ca="1" si="40"/>
        <v>2612.4870814929336</v>
      </c>
      <c r="N53" s="270">
        <f t="shared" ca="1" si="40"/>
        <v>2710.8965543257623</v>
      </c>
      <c r="O53" s="270">
        <f t="shared" ca="1" si="40"/>
        <v>2752.053665723839</v>
      </c>
      <c r="P53" s="270">
        <f t="shared" ca="1" si="40"/>
        <v>2731.6768953609089</v>
      </c>
      <c r="Q53" s="270">
        <f t="shared" ca="1" si="40"/>
        <v>2650.8179529472995</v>
      </c>
      <c r="R53" s="270">
        <f t="shared" ca="1" si="40"/>
        <v>2530.7178181088202</v>
      </c>
      <c r="S53" s="270">
        <f t="shared" ca="1" si="40"/>
        <v>2374.2671754829571</v>
      </c>
    </row>
    <row r="54" spans="2:20">
      <c r="F54" s="226"/>
      <c r="I54" s="202"/>
      <c r="J54" s="202"/>
      <c r="K54" s="202"/>
      <c r="L54" s="202"/>
      <c r="M54" s="202"/>
      <c r="N54" s="202"/>
      <c r="O54" s="202"/>
      <c r="P54" s="202"/>
      <c r="Q54" s="202"/>
      <c r="R54" s="202"/>
      <c r="S54" s="202"/>
    </row>
    <row r="55" spans="2:20">
      <c r="B55" s="69" t="s">
        <v>676</v>
      </c>
      <c r="C55" s="69"/>
      <c r="D55" s="69"/>
      <c r="E55" s="69"/>
      <c r="I55" s="202"/>
      <c r="J55" s="202"/>
      <c r="K55" s="202"/>
      <c r="L55" s="202"/>
      <c r="M55" s="202"/>
      <c r="N55" s="270"/>
      <c r="O55" s="202"/>
      <c r="P55" s="202"/>
      <c r="Q55" s="202"/>
      <c r="R55" s="202"/>
      <c r="S55" s="202"/>
    </row>
    <row r="56" spans="2:20">
      <c r="B56" s="77" t="s">
        <v>527</v>
      </c>
      <c r="C56" s="227">
        <f>Rates!B53</f>
        <v>477</v>
      </c>
      <c r="D56" s="227">
        <f>Rates!C53</f>
        <v>466</v>
      </c>
      <c r="E56" s="227">
        <f>Rates!D53</f>
        <v>602</v>
      </c>
      <c r="F56" s="227">
        <f>F49/2</f>
        <v>209.41900000000001</v>
      </c>
      <c r="G56" s="190">
        <f t="shared" ref="G56:H56" si="41">G49/2</f>
        <v>190.50399999999996</v>
      </c>
      <c r="H56" s="190">
        <f t="shared" si="41"/>
        <v>173.03399999999999</v>
      </c>
      <c r="I56" s="202">
        <f>Rates!H53</f>
        <v>176.83296189838859</v>
      </c>
      <c r="J56" s="202">
        <f>Rates!I53</f>
        <v>749.78996189838858</v>
      </c>
      <c r="K56" s="202">
        <f>Rates!J53</f>
        <v>808.07669760370243</v>
      </c>
      <c r="L56" s="202">
        <f>Rates!K53</f>
        <v>868.4940886250489</v>
      </c>
      <c r="M56" s="202">
        <f>Rates!L53</f>
        <v>921.98323336328599</v>
      </c>
      <c r="N56" s="202">
        <f>Rates!M53</f>
        <v>945.8002766697814</v>
      </c>
      <c r="O56" s="202">
        <f>Rates!N53</f>
        <v>939.74340857292611</v>
      </c>
      <c r="P56" s="202">
        <f>Rates!O53</f>
        <v>912.86390719585575</v>
      </c>
      <c r="Q56" s="202">
        <f>Rates!P53</f>
        <v>867.68214660297008</v>
      </c>
      <c r="R56" s="202">
        <f>Rates!Q53</f>
        <v>813.05978651002476</v>
      </c>
      <c r="S56" s="202">
        <f>Rates!R53</f>
        <v>746.95172465341443</v>
      </c>
    </row>
    <row r="57" spans="2:20">
      <c r="B57" s="77" t="s">
        <v>528</v>
      </c>
      <c r="C57" s="190">
        <f>Rates!B54</f>
        <v>743</v>
      </c>
      <c r="D57" s="190">
        <f>Rates!C54</f>
        <v>151</v>
      </c>
      <c r="E57" s="190">
        <f>Rates!D54</f>
        <v>114</v>
      </c>
      <c r="F57" s="190">
        <f t="shared" ref="F57:H57" si="42">F50/2</f>
        <v>41.578000000000003</v>
      </c>
      <c r="G57" s="190">
        <f t="shared" si="42"/>
        <v>39.56</v>
      </c>
      <c r="H57" s="190">
        <f t="shared" si="42"/>
        <v>37.976000000000013</v>
      </c>
      <c r="I57" s="202">
        <f>Rates!H54</f>
        <v>41.02544988735788</v>
      </c>
      <c r="J57" s="202">
        <f>Rates!I54</f>
        <v>160.1394498873579</v>
      </c>
      <c r="K57" s="202">
        <f>Rates!J54</f>
        <v>206.49538258315138</v>
      </c>
      <c r="L57" s="202">
        <f>Rates!K54</f>
        <v>239.27781917293018</v>
      </c>
      <c r="M57" s="202">
        <f>Rates!L54</f>
        <v>268.24621366722397</v>
      </c>
      <c r="N57" s="202">
        <f>Rates!M54</f>
        <v>286.37832972347445</v>
      </c>
      <c r="O57" s="202">
        <f>Rates!N54</f>
        <v>305.46551669634613</v>
      </c>
      <c r="P57" s="202">
        <f>Rates!O54</f>
        <v>314.7605680856683</v>
      </c>
      <c r="Q57" s="202">
        <f>Rates!P54</f>
        <v>312.6502639173778</v>
      </c>
      <c r="R57" s="202">
        <f>Rates!Q54</f>
        <v>300.7823003405436</v>
      </c>
      <c r="S57" s="202">
        <f>Rates!R54</f>
        <v>282.63641874773543</v>
      </c>
    </row>
    <row r="58" spans="2:20">
      <c r="B58" s="77" t="s">
        <v>529</v>
      </c>
      <c r="C58" s="190">
        <f>Rates!B55</f>
        <v>13</v>
      </c>
      <c r="D58" s="190">
        <f>Rates!C55</f>
        <v>3</v>
      </c>
      <c r="E58" s="190">
        <f>Rates!D55</f>
        <v>0</v>
      </c>
      <c r="F58" s="190">
        <f t="shared" ref="F58:H58" si="43">F51/2</f>
        <v>11.462500000000002</v>
      </c>
      <c r="G58" s="190">
        <f t="shared" si="43"/>
        <v>13.6555</v>
      </c>
      <c r="H58" s="190">
        <f t="shared" si="43"/>
        <v>11.851500000000001</v>
      </c>
      <c r="I58" s="202">
        <f ca="1">Rates!H55</f>
        <v>-29.57543159318325</v>
      </c>
      <c r="J58" s="202">
        <f ca="1">Rates!I55</f>
        <v>7.3940684068167526</v>
      </c>
      <c r="K58" s="202">
        <f ca="1">Rates!J55</f>
        <v>0</v>
      </c>
      <c r="L58" s="202">
        <f ca="1">Rates!K55</f>
        <v>0</v>
      </c>
      <c r="M58" s="202">
        <f ca="1">Rates!L55</f>
        <v>0</v>
      </c>
      <c r="N58" s="202">
        <f ca="1">Rates!M55</f>
        <v>0</v>
      </c>
      <c r="O58" s="202">
        <f ca="1">Rates!N55</f>
        <v>0</v>
      </c>
      <c r="P58" s="202">
        <f ca="1">Rates!O55</f>
        <v>0</v>
      </c>
      <c r="Q58" s="202">
        <f ca="1">Rates!P55</f>
        <v>0</v>
      </c>
      <c r="R58" s="202">
        <f ca="1">Rates!Q55</f>
        <v>0</v>
      </c>
      <c r="S58" s="202">
        <f ca="1">Rates!R55</f>
        <v>0</v>
      </c>
    </row>
    <row r="59" spans="2:20">
      <c r="B59" s="77" t="s">
        <v>530</v>
      </c>
      <c r="C59" s="190">
        <f>Rates!B56</f>
        <v>1</v>
      </c>
      <c r="D59" s="190">
        <f>Rates!C56</f>
        <v>2</v>
      </c>
      <c r="E59" s="190">
        <f>Rates!D56</f>
        <v>0</v>
      </c>
      <c r="F59" s="190">
        <f t="shared" ref="F59:H59" si="44">F52/2</f>
        <v>19</v>
      </c>
      <c r="G59" s="190">
        <f t="shared" si="44"/>
        <v>19</v>
      </c>
      <c r="H59" s="190">
        <f t="shared" si="44"/>
        <v>16.5</v>
      </c>
      <c r="I59" s="202">
        <f ca="1">Rates!H56</f>
        <v>20.469999999999985</v>
      </c>
      <c r="J59" s="202">
        <f ca="1">Rates!I56</f>
        <v>74.969999999999985</v>
      </c>
      <c r="K59" s="202">
        <f ca="1">Rates!J56</f>
        <v>74.159999999999982</v>
      </c>
      <c r="L59" s="202">
        <f ca="1">Rates!K56</f>
        <v>84.059999999999988</v>
      </c>
      <c r="M59" s="202">
        <f ca="1">Rates!L56</f>
        <v>93.96</v>
      </c>
      <c r="N59" s="202">
        <f ca="1">Rates!M56</f>
        <v>105.02595289079228</v>
      </c>
      <c r="O59" s="202">
        <f ca="1">Rates!N56</f>
        <v>117.39517646465433</v>
      </c>
      <c r="P59" s="202">
        <f ca="1">Rates!O56</f>
        <v>131.22116084485987</v>
      </c>
      <c r="Q59" s="202">
        <f ca="1">Rates!P56</f>
        <v>146.67547314992902</v>
      </c>
      <c r="R59" s="202">
        <f ca="1">Rates!Q56</f>
        <v>163.9498864759378</v>
      </c>
      <c r="S59" s="202">
        <f ca="1">Rates!R56</f>
        <v>183.25875961550221</v>
      </c>
    </row>
    <row r="60" spans="2:20">
      <c r="B60" s="69" t="s">
        <v>114</v>
      </c>
      <c r="C60" s="395">
        <f>SUM(C56:C59)</f>
        <v>1234</v>
      </c>
      <c r="D60" s="395">
        <f>SUM(D56:D59)</f>
        <v>622</v>
      </c>
      <c r="E60" s="395">
        <f>SUM(E56:E59)</f>
        <v>716</v>
      </c>
      <c r="F60" s="395">
        <f>(F11/F10)*F53</f>
        <v>217.1259</v>
      </c>
      <c r="G60" s="20">
        <f>(G11/G10)*G53</f>
        <v>212.98865774378581</v>
      </c>
      <c r="H60" s="20">
        <f>(H11/H10)*H53</f>
        <v>200.13839705882353</v>
      </c>
      <c r="I60" s="270">
        <f ca="1">Rates!H57</f>
        <v>208.75298019256331</v>
      </c>
      <c r="J60" s="270">
        <f ca="1">SUM(J56:J59)</f>
        <v>992.29348019256315</v>
      </c>
      <c r="K60" s="270">
        <f t="shared" ref="K60:S60" ca="1" si="45">SUM(K56:K59)</f>
        <v>1088.7320801868539</v>
      </c>
      <c r="L60" s="270">
        <f t="shared" ca="1" si="45"/>
        <v>1191.8319077979791</v>
      </c>
      <c r="M60" s="270">
        <f t="shared" ca="1" si="45"/>
        <v>1284.1894470305101</v>
      </c>
      <c r="N60" s="270">
        <f t="shared" ca="1" si="45"/>
        <v>1337.2045592840482</v>
      </c>
      <c r="O60" s="270">
        <f t="shared" ca="1" si="45"/>
        <v>1362.6041017339264</v>
      </c>
      <c r="P60" s="270">
        <f t="shared" ca="1" si="45"/>
        <v>1358.8456361263841</v>
      </c>
      <c r="Q60" s="270">
        <f t="shared" ca="1" si="45"/>
        <v>1327.0078836702769</v>
      </c>
      <c r="R60" s="270">
        <f t="shared" ca="1" si="45"/>
        <v>1277.7919733265062</v>
      </c>
      <c r="S60" s="270">
        <f t="shared" ca="1" si="45"/>
        <v>1212.846903016652</v>
      </c>
    </row>
    <row r="61" spans="2:20">
      <c r="B61" s="220" t="s">
        <v>677</v>
      </c>
      <c r="C61" s="220"/>
      <c r="D61" s="220"/>
      <c r="E61" s="220"/>
      <c r="F61" s="221" t="b">
        <f>SUM(F56:F59)=F60</f>
        <v>0</v>
      </c>
      <c r="G61" s="221" t="b">
        <f t="shared" ref="G61:H61" si="46">SUM(G56:G59)=G60</f>
        <v>0</v>
      </c>
      <c r="H61" s="221" t="b">
        <f t="shared" si="46"/>
        <v>0</v>
      </c>
      <c r="I61" s="202"/>
      <c r="J61" s="202"/>
      <c r="K61" s="202"/>
      <c r="L61" s="202"/>
      <c r="M61" s="202"/>
      <c r="N61" s="202"/>
      <c r="O61" s="202"/>
      <c r="P61" s="202"/>
      <c r="Q61" s="202"/>
      <c r="R61" s="202"/>
      <c r="S61" s="202"/>
    </row>
    <row r="62" spans="2:20">
      <c r="I62" s="202"/>
      <c r="J62" s="202"/>
      <c r="K62" s="202"/>
      <c r="L62" s="202"/>
      <c r="M62" s="202"/>
      <c r="N62" s="202"/>
      <c r="O62" s="202"/>
      <c r="P62" s="202"/>
      <c r="Q62" s="202"/>
      <c r="R62" s="202"/>
      <c r="S62" s="202"/>
    </row>
    <row r="63" spans="2:20">
      <c r="B63" s="69" t="s">
        <v>678</v>
      </c>
      <c r="C63" s="69"/>
      <c r="D63" s="69"/>
      <c r="E63" s="69"/>
      <c r="I63" s="202"/>
      <c r="J63" s="202"/>
      <c r="K63" s="202"/>
      <c r="L63" s="202"/>
      <c r="M63" s="202"/>
      <c r="N63" s="270"/>
      <c r="O63" s="202"/>
      <c r="P63" s="202"/>
      <c r="Q63" s="202"/>
      <c r="R63" s="202"/>
      <c r="S63" s="202"/>
    </row>
    <row r="64" spans="2:20">
      <c r="B64" s="77" t="s">
        <v>527</v>
      </c>
      <c r="C64" s="227">
        <f>Rates!B40</f>
        <v>483</v>
      </c>
      <c r="D64" s="227">
        <f>Rates!C40</f>
        <v>437</v>
      </c>
      <c r="E64" s="227">
        <f>Rates!D40</f>
        <v>800</v>
      </c>
      <c r="F64" s="227">
        <f>F49/2</f>
        <v>209.41900000000001</v>
      </c>
      <c r="G64" s="190">
        <f t="shared" ref="G64:H64" si="47">G49/2</f>
        <v>190.50399999999996</v>
      </c>
      <c r="H64" s="190">
        <f t="shared" si="47"/>
        <v>173.03399999999999</v>
      </c>
      <c r="I64" s="202">
        <f>Rates!H40</f>
        <v>176.83296189838859</v>
      </c>
      <c r="J64" s="202">
        <f>Rates!I40</f>
        <v>749.78996189838858</v>
      </c>
      <c r="K64" s="202">
        <f>Rates!J40</f>
        <v>808.07669760370243</v>
      </c>
      <c r="L64" s="202">
        <f>Rates!K40</f>
        <v>868.4940886250489</v>
      </c>
      <c r="M64" s="202">
        <f>Rates!L40</f>
        <v>921.98323336328599</v>
      </c>
      <c r="N64" s="202">
        <f>Rates!M40</f>
        <v>945.8002766697814</v>
      </c>
      <c r="O64" s="202">
        <f>Rates!N40</f>
        <v>939.74340857292611</v>
      </c>
      <c r="P64" s="202">
        <f>Rates!O40</f>
        <v>912.86390719585575</v>
      </c>
      <c r="Q64" s="202">
        <f>Rates!P40</f>
        <v>867.68214660297008</v>
      </c>
      <c r="R64" s="202">
        <f>Rates!Q40</f>
        <v>813.05978651002476</v>
      </c>
      <c r="S64" s="202">
        <f>Rates!R40</f>
        <v>746.95172465341443</v>
      </c>
    </row>
    <row r="65" spans="1:20">
      <c r="B65" s="77" t="s">
        <v>528</v>
      </c>
      <c r="C65" s="227">
        <f>Rates!B41</f>
        <v>394</v>
      </c>
      <c r="D65" s="227">
        <f>Rates!C41</f>
        <v>100</v>
      </c>
      <c r="E65" s="227">
        <f>Rates!D41</f>
        <v>82</v>
      </c>
      <c r="F65" s="228">
        <f t="shared" ref="F65:H65" si="48">F50/2</f>
        <v>41.578000000000003</v>
      </c>
      <c r="G65" s="190">
        <f t="shared" si="48"/>
        <v>39.56</v>
      </c>
      <c r="H65" s="190">
        <f t="shared" si="48"/>
        <v>37.976000000000013</v>
      </c>
      <c r="I65" s="202">
        <f>Rates!H41</f>
        <v>49.627592442062692</v>
      </c>
      <c r="J65" s="202">
        <f>Rates!I41</f>
        <v>168.74159244206271</v>
      </c>
      <c r="K65" s="202">
        <f>Rates!J41</f>
        <v>218.30967809853584</v>
      </c>
      <c r="L65" s="202">
        <f>Rates!K41</f>
        <v>253.92093159072468</v>
      </c>
      <c r="M65" s="202">
        <f>Rates!L41</f>
        <v>285.89068848432328</v>
      </c>
      <c r="N65" s="202">
        <f>Rates!M41</f>
        <v>306.73931824216299</v>
      </c>
      <c r="O65" s="202">
        <f>Rates!N41</f>
        <v>329.09508809175946</v>
      </c>
      <c r="P65" s="202">
        <f>Rates!O41</f>
        <v>341.4590368608205</v>
      </c>
      <c r="Q65" s="202">
        <f>Rates!P41</f>
        <v>342.00250194525512</v>
      </c>
      <c r="R65" s="202">
        <f>Rates!Q41</f>
        <v>332.39742878630182</v>
      </c>
      <c r="S65" s="202">
        <f>Rates!R41</f>
        <v>316.37970754336584</v>
      </c>
    </row>
    <row r="66" spans="1:20">
      <c r="B66" s="77" t="s">
        <v>529</v>
      </c>
      <c r="C66" s="227">
        <f>Rates!B42</f>
        <v>244</v>
      </c>
      <c r="D66" s="227">
        <f>Rates!C42</f>
        <v>80</v>
      </c>
      <c r="E66" s="227">
        <f>Rates!D42</f>
        <v>80</v>
      </c>
      <c r="F66" s="190">
        <f t="shared" ref="F66:H66" si="49">F51/2</f>
        <v>11.462500000000002</v>
      </c>
      <c r="G66" s="190">
        <f t="shared" si="49"/>
        <v>13.6555</v>
      </c>
      <c r="H66" s="190">
        <f t="shared" si="49"/>
        <v>11.851500000000001</v>
      </c>
      <c r="I66" s="202">
        <f ca="1">Rates!H42</f>
        <v>3.0640199999999993</v>
      </c>
      <c r="J66" s="202">
        <f ca="1">Rates!I42</f>
        <v>40.033520000000003</v>
      </c>
      <c r="K66" s="202">
        <f ca="1">Rates!J42</f>
        <v>40.909253250000006</v>
      </c>
      <c r="L66" s="202">
        <f ca="1">Rates!K42</f>
        <v>41.618346973000008</v>
      </c>
      <c r="M66" s="202">
        <f ca="1">Rates!L42</f>
        <v>42.123712614815005</v>
      </c>
      <c r="N66" s="202">
        <f ca="1">Rates!M42</f>
        <v>42.382935461675409</v>
      </c>
      <c r="O66" s="202">
        <f ca="1">Rates!N42</f>
        <v>42.347616348790673</v>
      </c>
      <c r="P66" s="202">
        <f ca="1">Rates!O42</f>
        <v>41.962638018347121</v>
      </c>
      <c r="Q66" s="202">
        <f ca="1">Rates!P42</f>
        <v>40.787684153833403</v>
      </c>
      <c r="R66" s="202">
        <f ca="1">Rates!Q42</f>
        <v>39.15617678768006</v>
      </c>
      <c r="S66" s="202">
        <f ca="1">Rates!R42</f>
        <v>37.002587064357655</v>
      </c>
    </row>
    <row r="67" spans="1:20">
      <c r="B67" s="77" t="s">
        <v>530</v>
      </c>
      <c r="C67" s="227">
        <f>Rates!B43</f>
        <v>-5</v>
      </c>
      <c r="D67" s="227">
        <f>Rates!C43</f>
        <v>0</v>
      </c>
      <c r="E67" s="227">
        <f>Rates!D43</f>
        <v>103</v>
      </c>
      <c r="F67" s="190">
        <f t="shared" ref="F67:H67" si="50">F52/2</f>
        <v>19</v>
      </c>
      <c r="G67" s="190">
        <f t="shared" si="50"/>
        <v>19</v>
      </c>
      <c r="H67" s="190">
        <f t="shared" si="50"/>
        <v>16.5</v>
      </c>
      <c r="I67" s="202">
        <f ca="1">Rates!H43</f>
        <v>20.469999999999985</v>
      </c>
      <c r="J67" s="202">
        <f ca="1">Rates!I43</f>
        <v>74.969999999999985</v>
      </c>
      <c r="K67" s="202">
        <f ca="1">Rates!J43</f>
        <v>74.159999999999982</v>
      </c>
      <c r="L67" s="202">
        <f ca="1">Rates!K43</f>
        <v>77.054999999999993</v>
      </c>
      <c r="M67" s="202">
        <f ca="1">Rates!L43</f>
        <v>78.299999999999983</v>
      </c>
      <c r="N67" s="202">
        <f ca="1">Rates!M43</f>
        <v>78.769464668094201</v>
      </c>
      <c r="O67" s="202">
        <f ca="1">Rates!N43</f>
        <v>78.263450976436218</v>
      </c>
      <c r="P67" s="202">
        <f ca="1">Rates!O43</f>
        <v>76.545677159501594</v>
      </c>
      <c r="Q67" s="202">
        <f ca="1">Rates!P43</f>
        <v>73.337736574964509</v>
      </c>
      <c r="R67" s="202">
        <f ca="1">Rates!Q43</f>
        <v>68.312452698307425</v>
      </c>
      <c r="S67" s="202">
        <f ca="1">Rates!R43</f>
        <v>61.086253205167409</v>
      </c>
    </row>
    <row r="68" spans="1:20">
      <c r="B68" s="69" t="s">
        <v>114</v>
      </c>
      <c r="C68" s="395">
        <f>SUM(C64:C67)</f>
        <v>1116</v>
      </c>
      <c r="D68" s="395">
        <f>SUM(D64:D67)</f>
        <v>617</v>
      </c>
      <c r="E68" s="395">
        <f>SUM(E64:E67)</f>
        <v>1065</v>
      </c>
      <c r="F68" s="395">
        <f>(F12/F10)*F53</f>
        <v>345.79310000000004</v>
      </c>
      <c r="G68" s="20">
        <f>(G12/G10)*G53</f>
        <v>312.45034225621407</v>
      </c>
      <c r="H68" s="20">
        <f>(H12/H10)*H53</f>
        <v>278.58460294117646</v>
      </c>
      <c r="I68" s="270">
        <f ca="1">Rates!H44</f>
        <v>249.99457434045144</v>
      </c>
      <c r="J68" s="270">
        <f ca="1">SUM(J64:J67)</f>
        <v>1033.5350743404513</v>
      </c>
      <c r="K68" s="270">
        <f t="shared" ref="K68:S68" ca="1" si="51">SUM(K64:K67)</f>
        <v>1141.4556289522382</v>
      </c>
      <c r="L68" s="270">
        <f t="shared" ca="1" si="51"/>
        <v>1241.0883671887736</v>
      </c>
      <c r="M68" s="270">
        <f t="shared" ca="1" si="51"/>
        <v>1328.2976344624244</v>
      </c>
      <c r="N68" s="270">
        <f t="shared" ca="1" si="51"/>
        <v>1373.6919950417141</v>
      </c>
      <c r="O68" s="270">
        <f t="shared" ca="1" si="51"/>
        <v>1389.4495639899126</v>
      </c>
      <c r="P68" s="270">
        <f t="shared" ca="1" si="51"/>
        <v>1372.8312592345251</v>
      </c>
      <c r="Q68" s="270">
        <f t="shared" ca="1" si="51"/>
        <v>1323.8100692770231</v>
      </c>
      <c r="R68" s="270">
        <f t="shared" ca="1" si="51"/>
        <v>1252.925844782314</v>
      </c>
      <c r="S68" s="270">
        <f t="shared" ca="1" si="51"/>
        <v>1161.4202724663053</v>
      </c>
    </row>
    <row r="69" spans="1:20">
      <c r="B69" s="220" t="s">
        <v>677</v>
      </c>
      <c r="C69" s="220"/>
      <c r="D69" s="220"/>
      <c r="E69" s="220"/>
      <c r="F69" s="221" t="b">
        <f>SUM(F64:F67)=F68</f>
        <v>0</v>
      </c>
      <c r="G69" s="221" t="b">
        <f t="shared" ref="G69" si="52">SUM(G64:G67)=G68</f>
        <v>0</v>
      </c>
      <c r="H69" s="221" t="b">
        <f t="shared" ref="H69" si="53">SUM(H64:H67)=H68</f>
        <v>0</v>
      </c>
    </row>
    <row r="71" spans="1:20">
      <c r="B71" s="69" t="s">
        <v>679</v>
      </c>
      <c r="C71" s="69"/>
      <c r="D71" s="69"/>
      <c r="E71" s="69"/>
      <c r="O71" s="217"/>
      <c r="P71" s="217"/>
      <c r="Q71" s="217"/>
      <c r="R71" s="217"/>
      <c r="S71" s="217"/>
      <c r="T71" s="217"/>
    </row>
    <row r="72" spans="1:20">
      <c r="B72" s="77" t="s">
        <v>527</v>
      </c>
      <c r="C72">
        <f t="shared" ref="C72:H75" si="54">C35-C56-C64</f>
        <v>-638</v>
      </c>
      <c r="D72">
        <f t="shared" si="54"/>
        <v>5.0000000000001137</v>
      </c>
      <c r="E72">
        <f t="shared" si="54"/>
        <v>148</v>
      </c>
      <c r="F72">
        <f t="shared" si="54"/>
        <v>90.999999999999972</v>
      </c>
      <c r="G72">
        <f t="shared" si="54"/>
        <v>134</v>
      </c>
      <c r="H72">
        <f t="shared" si="54"/>
        <v>171</v>
      </c>
    </row>
    <row r="73" spans="1:20">
      <c r="B73" s="77" t="s">
        <v>528</v>
      </c>
      <c r="C73">
        <f t="shared" si="54"/>
        <v>9</v>
      </c>
      <c r="D73">
        <f t="shared" si="54"/>
        <v>438</v>
      </c>
      <c r="E73">
        <f t="shared" si="54"/>
        <v>456</v>
      </c>
      <c r="F73">
        <f t="shared" si="54"/>
        <v>112</v>
      </c>
      <c r="G73">
        <f t="shared" si="54"/>
        <v>161</v>
      </c>
      <c r="H73">
        <f t="shared" si="54"/>
        <v>176</v>
      </c>
    </row>
    <row r="74" spans="1:20">
      <c r="B74" s="77" t="s">
        <v>529</v>
      </c>
      <c r="C74">
        <f t="shared" si="54"/>
        <v>-229</v>
      </c>
      <c r="D74">
        <f t="shared" si="54"/>
        <v>-10</v>
      </c>
      <c r="E74">
        <f t="shared" si="54"/>
        <v>27</v>
      </c>
      <c r="F74">
        <f t="shared" si="54"/>
        <v>11</v>
      </c>
      <c r="G74">
        <f t="shared" si="54"/>
        <v>13</v>
      </c>
      <c r="H74">
        <f t="shared" si="54"/>
        <v>20</v>
      </c>
    </row>
    <row r="75" spans="1:20">
      <c r="B75" s="77" t="s">
        <v>530</v>
      </c>
      <c r="C75">
        <f t="shared" si="54"/>
        <v>13</v>
      </c>
      <c r="D75">
        <f t="shared" si="54"/>
        <v>36</v>
      </c>
      <c r="E75">
        <f t="shared" si="54"/>
        <v>44</v>
      </c>
      <c r="F75" s="20">
        <f t="shared" si="54"/>
        <v>14</v>
      </c>
      <c r="G75" s="20">
        <f t="shared" si="54"/>
        <v>14</v>
      </c>
      <c r="H75" s="20">
        <f t="shared" si="54"/>
        <v>15</v>
      </c>
    </row>
    <row r="76" spans="1:20">
      <c r="C76">
        <f t="shared" ref="C76:H76" si="55">SUM(C72:C75)</f>
        <v>-845</v>
      </c>
      <c r="D76">
        <f t="shared" si="55"/>
        <v>469.00000000000011</v>
      </c>
      <c r="E76">
        <f t="shared" si="55"/>
        <v>675</v>
      </c>
      <c r="F76">
        <f t="shared" si="55"/>
        <v>227.99999999999997</v>
      </c>
      <c r="G76">
        <f t="shared" si="55"/>
        <v>322</v>
      </c>
      <c r="H76">
        <f t="shared" si="55"/>
        <v>382</v>
      </c>
    </row>
    <row r="78" spans="1:20">
      <c r="A78"/>
    </row>
    <row r="84" spans="2:5">
      <c r="B84" s="222" t="s">
        <v>680</v>
      </c>
    </row>
    <row r="85" spans="2:5">
      <c r="B85" s="220" t="s">
        <v>527</v>
      </c>
      <c r="C85" s="221" t="b">
        <f t="shared" ref="C85:E88" si="56">F42=F72</f>
        <v>1</v>
      </c>
      <c r="D85" s="221" t="b">
        <f t="shared" si="56"/>
        <v>1</v>
      </c>
      <c r="E85" s="221" t="b">
        <f t="shared" si="56"/>
        <v>1</v>
      </c>
    </row>
    <row r="86" spans="2:5">
      <c r="B86" s="220" t="s">
        <v>528</v>
      </c>
      <c r="C86" s="221" t="b">
        <f t="shared" si="56"/>
        <v>1</v>
      </c>
      <c r="D86" s="221" t="b">
        <f t="shared" si="56"/>
        <v>1</v>
      </c>
      <c r="E86" s="221" t="b">
        <f t="shared" si="56"/>
        <v>1</v>
      </c>
    </row>
    <row r="87" spans="2:5">
      <c r="B87" s="220" t="s">
        <v>529</v>
      </c>
      <c r="C87" s="221" t="b">
        <f t="shared" si="56"/>
        <v>1</v>
      </c>
      <c r="D87" s="221" t="b">
        <f t="shared" si="56"/>
        <v>1</v>
      </c>
      <c r="E87" s="221" t="b">
        <f t="shared" si="56"/>
        <v>1</v>
      </c>
    </row>
    <row r="88" spans="2:5">
      <c r="B88" s="220" t="s">
        <v>530</v>
      </c>
      <c r="C88" s="221" t="b">
        <f t="shared" si="56"/>
        <v>1</v>
      </c>
      <c r="D88" s="221" t="b">
        <f t="shared" si="56"/>
        <v>1</v>
      </c>
      <c r="E88" s="221" t="b">
        <f t="shared" si="56"/>
        <v>1</v>
      </c>
    </row>
    <row r="89" spans="2:5">
      <c r="B89" s="223" t="s">
        <v>114</v>
      </c>
      <c r="C89" s="221" t="b">
        <f>F46=C76</f>
        <v>0</v>
      </c>
      <c r="D89" s="221" t="b">
        <f>G46=D76</f>
        <v>0</v>
      </c>
      <c r="E89" s="221" t="b">
        <f>H46=E76</f>
        <v>0</v>
      </c>
    </row>
  </sheetData>
  <mergeCells count="3">
    <mergeCell ref="C2:H2"/>
    <mergeCell ref="V2:AA2"/>
    <mergeCell ref="I2:S2"/>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73815-11CD-48C7-A1CC-85BFCA32771F}">
  <sheetPr codeName="Sheet14"/>
  <dimension ref="A5:H8"/>
  <sheetViews>
    <sheetView showGridLines="0" showRowColHeaders="0" workbookViewId="0">
      <selection activeCell="H20" sqref="H20"/>
    </sheetView>
  </sheetViews>
  <sheetFormatPr defaultColWidth="8.7109375" defaultRowHeight="15"/>
  <sheetData>
    <row r="5" spans="1:8">
      <c r="G5" s="20"/>
      <c r="H5" s="20"/>
    </row>
    <row r="8" spans="1:8">
      <c r="A8" s="20"/>
      <c r="G8" s="95"/>
      <c r="H8" s="9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20</vt:i4>
      </vt:variant>
    </vt:vector>
  </HeadingPairs>
  <TitlesOfParts>
    <vt:vector size="36" baseType="lpstr">
      <vt:lpstr>Documentation</vt:lpstr>
      <vt:lpstr>Cover Page</vt:lpstr>
      <vt:lpstr>Simu vals</vt:lpstr>
      <vt:lpstr>Simu rates</vt:lpstr>
      <vt:lpstr>Values</vt:lpstr>
      <vt:lpstr>Rates</vt:lpstr>
      <vt:lpstr>Forecast for Expenses</vt:lpstr>
      <vt:lpstr>SG&amp;A, R&amp;D</vt:lpstr>
      <vt:lpstr>Mobility Revenue Growth Rate</vt:lpstr>
      <vt:lpstr>Deliveries Revenue Growth Rate</vt:lpstr>
      <vt:lpstr>Financial Services Growth Rate</vt:lpstr>
      <vt:lpstr>PPE, CA, CL supporting</vt:lpstr>
      <vt:lpstr>WACC</vt:lpstr>
      <vt:lpstr>Alt WACC</vt:lpstr>
      <vt:lpstr>Incentives Breakdown</vt:lpstr>
      <vt:lpstr>Sheet1</vt:lpstr>
      <vt:lpstr>AmortRate</vt:lpstr>
      <vt:lpstr>CLTurnover</vt:lpstr>
      <vt:lpstr>DeprRate</vt:lpstr>
      <vt:lpstr>DivPOR</vt:lpstr>
      <vt:lpstr>GenAdmRev</vt:lpstr>
      <vt:lpstr>GrossMargin</vt:lpstr>
      <vt:lpstr>IntangibleTurnover</vt:lpstr>
      <vt:lpstr>IntRateCash</vt:lpstr>
      <vt:lpstr>IntRateDebt</vt:lpstr>
      <vt:lpstr>InventoryTurnover</vt:lpstr>
      <vt:lpstr>MarketingRev</vt:lpstr>
      <vt:lpstr>PPETurnover</vt:lpstr>
      <vt:lpstr>ReceivablesTurnover</vt:lpstr>
      <vt:lpstr>ResearchRev</vt:lpstr>
      <vt:lpstr>Revenue</vt:lpstr>
      <vt:lpstr>RevGrowthDel</vt:lpstr>
      <vt:lpstr>RevGrowthEnt</vt:lpstr>
      <vt:lpstr>RevGrowthFin</vt:lpstr>
      <vt:lpstr>RevGrowthMob</vt:lpstr>
      <vt:lpstr>TaxRate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 Sing Lee</dc:creator>
  <cp:keywords/>
  <dc:description/>
  <cp:lastModifiedBy>user</cp:lastModifiedBy>
  <cp:revision/>
  <dcterms:created xsi:type="dcterms:W3CDTF">2023-01-25T14:59:07Z</dcterms:created>
  <dcterms:modified xsi:type="dcterms:W3CDTF">2023-04-11T20:40:05Z</dcterms:modified>
  <cp:category/>
  <cp:contentStatus/>
</cp:coreProperties>
</file>