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D:\gitClone\KhamzinRadik\python-2.5\testEXLS\"/>
    </mc:Choice>
  </mc:AlternateContent>
  <xr:revisionPtr revIDLastSave="0" documentId="8_{F6F46053-BD2F-412B-9059-633693E7CDB1}" xr6:coauthVersionLast="47" xr6:coauthVersionMax="47" xr10:uidLastSave="{00000000-0000-0000-0000-000000000000}"/>
  <bookViews>
    <workbookView xWindow="3345" yWindow="1185" windowWidth="16725" windowHeight="9060" tabRatio="926" firstSheet="58" activeTab="79" xr2:uid="{00000000-000D-0000-FFFF-FFFF00000000}"/>
  </bookViews>
  <sheets>
    <sheet name="Лист1" sheetId="1" r:id="rId1"/>
    <sheet name="мкд" sheetId="2" r:id="rId2"/>
    <sheet name="1-я Стр 42" sheetId="3" r:id="rId3"/>
    <sheet name="1-я Стр 44" sheetId="4" r:id="rId4"/>
    <sheet name="1-я Стр 46" sheetId="5" r:id="rId5"/>
    <sheet name="Даг 7" sheetId="80" r:id="rId6"/>
    <sheet name="Даг 9" sheetId="79" r:id="rId7"/>
    <sheet name="Даг 9-1" sheetId="78" r:id="rId8"/>
    <sheet name="Даг 11" sheetId="6" r:id="rId9"/>
    <sheet name="Даг.11-1" sheetId="47" r:id="rId10"/>
    <sheet name="Даг 13" sheetId="7" r:id="rId11"/>
    <sheet name="Даг 17" sheetId="46" r:id="rId12"/>
    <sheet name="Даг 19" sheetId="45" r:id="rId13"/>
    <sheet name="Даг 31" sheetId="44" r:id="rId14"/>
    <sheet name="Лев 7" sheetId="77" r:id="rId15"/>
    <sheet name="Лев 14-1" sheetId="8" r:id="rId16"/>
    <sheet name="Лев 14-2" sheetId="9" r:id="rId17"/>
    <sheet name="Лев 14-3" sheetId="10" r:id="rId18"/>
    <sheet name="Лев 14-5" sheetId="11" r:id="rId19"/>
    <sheet name="Лев 14-6" sheetId="12" r:id="rId20"/>
    <sheet name="Лев 21а" sheetId="13" r:id="rId21"/>
    <sheet name="Лев 22-2" sheetId="14" r:id="rId22"/>
    <sheet name="Лев 71" sheetId="20" r:id="rId23"/>
    <sheet name="Мин 58" sheetId="19" r:id="rId24"/>
    <sheet name="Мус 7" sheetId="83" r:id="rId25"/>
    <sheet name="Мус 9-а" sheetId="81" r:id="rId26"/>
    <sheet name="Мус 11" sheetId="43" r:id="rId27"/>
    <sheet name="Мус 13" sheetId="41" r:id="rId28"/>
    <sheet name="Мус 13а" sheetId="42" r:id="rId29"/>
    <sheet name="Мус 15" sheetId="40" r:id="rId30"/>
    <sheet name="Мус 15-а" sheetId="39" r:id="rId31"/>
    <sheet name="Мус 17" sheetId="38" r:id="rId32"/>
    <sheet name="Мус 19-1" sheetId="37" r:id="rId33"/>
    <sheet name="Мус 19а" sheetId="36" r:id="rId34"/>
    <sheet name="Мус 19б" sheetId="35" r:id="rId35"/>
    <sheet name="Мус 21" sheetId="34" r:id="rId36"/>
    <sheet name="Мус 25-1" sheetId="33" r:id="rId37"/>
    <sheet name="М.Дж. 66" sheetId="49" r:id="rId38"/>
    <sheet name="Нов 2" sheetId="85" r:id="rId39"/>
    <sheet name="Пр 1" sheetId="75" r:id="rId40"/>
    <sheet name="Пр 2" sheetId="74" r:id="rId41"/>
    <sheet name="Пр 3" sheetId="73" r:id="rId42"/>
    <sheet name="Пр 4" sheetId="72" r:id="rId43"/>
    <sheet name="Пр 4-1" sheetId="71" r:id="rId44"/>
    <sheet name="Пр 6" sheetId="70" r:id="rId45"/>
    <sheet name="Пр 6а" sheetId="69" r:id="rId46"/>
    <sheet name="Пр 8" sheetId="68" r:id="rId47"/>
    <sheet name="Пр 8-1" sheetId="66" r:id="rId48"/>
    <sheet name="Пр 8-а" sheetId="67" r:id="rId49"/>
    <sheet name="Пр 10" sheetId="65" r:id="rId50"/>
    <sheet name="Пр 10-а" sheetId="64" r:id="rId51"/>
    <sheet name="Пр 11" sheetId="63" r:id="rId52"/>
    <sheet name="Пр 13" sheetId="62" r:id="rId53"/>
    <sheet name="Пр 15" sheetId="61" r:id="rId54"/>
    <sheet name="Пр 18" sheetId="32" r:id="rId55"/>
    <sheet name="Пр 18-1" sheetId="31" r:id="rId56"/>
    <sheet name="Пр 18-2" sheetId="30" r:id="rId57"/>
    <sheet name="Пр 18-3" sheetId="29" r:id="rId58"/>
    <sheet name="Пр 20" sheetId="28" r:id="rId59"/>
    <sheet name="Пр 20-1" sheetId="27" r:id="rId60"/>
    <sheet name="Пр 20-2" sheetId="26" r:id="rId61"/>
    <sheet name="Пр 25" sheetId="18" r:id="rId62"/>
    <sheet name="Пр 25-1" sheetId="17" r:id="rId63"/>
    <sheet name="Пр 25-2" sheetId="16" r:id="rId64"/>
    <sheet name="Пр 31-1" sheetId="15" r:id="rId65"/>
    <sheet name="Тал 4" sheetId="60" r:id="rId66"/>
    <sheet name="Тал 6" sheetId="59" r:id="rId67"/>
    <sheet name="Тал 7" sheetId="58" r:id="rId68"/>
    <sheet name="Тал 14" sheetId="57" r:id="rId69"/>
    <sheet name="Тал 21" sheetId="25" r:id="rId70"/>
    <sheet name="Тал 21а" sheetId="24" r:id="rId71"/>
    <sheet name="Тал 23" sheetId="23" r:id="rId72"/>
    <sheet name="Тал 23а" sheetId="22" r:id="rId73"/>
    <sheet name="Тал 23б" sheetId="21" r:id="rId74"/>
    <sheet name="Тал 24-1" sheetId="56" r:id="rId75"/>
    <sheet name="Тал 26-1" sheetId="55" r:id="rId76"/>
    <sheet name="Тал 28-1" sheetId="54" r:id="rId77"/>
    <sheet name="Ухт.26" sheetId="48" r:id="rId78"/>
    <sheet name="Центр 1-2" sheetId="53" r:id="rId79"/>
    <sheet name="Центр 6-1" sheetId="52" r:id="rId80"/>
    <sheet name="Центр 18-1" sheetId="51" r:id="rId81"/>
  </sheets>
  <externalReferences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</externalReferences>
  <definedNames>
    <definedName name="_xlnm._FilterDatabase" localSheetId="2" hidden="1">'1-я Стр 42'!$A$32:$B$89</definedName>
    <definedName name="_xlnm._FilterDatabase" localSheetId="3" hidden="1">'1-я Стр 44'!$A$32:$B$88</definedName>
    <definedName name="_xlnm._FilterDatabase" localSheetId="4" hidden="1">'1-я Стр 46'!$A$32:$B$88</definedName>
    <definedName name="_xlnm._FilterDatabase" localSheetId="8" hidden="1">'Даг 11'!$A$31:$G$89</definedName>
    <definedName name="_xlnm._FilterDatabase" localSheetId="10" hidden="1">'Даг 13'!$A$31:$G$88</definedName>
    <definedName name="_xlnm._FilterDatabase" localSheetId="11" hidden="1">'Даг 17'!$A$31:$G$82</definedName>
    <definedName name="_xlnm._FilterDatabase" localSheetId="12" hidden="1">'Даг 19'!$A$31:$G$89</definedName>
    <definedName name="_xlnm._FilterDatabase" localSheetId="13" hidden="1">'Даг 31'!$A$31:$G$89</definedName>
    <definedName name="_xlnm._FilterDatabase" localSheetId="5" hidden="1">'Даг 7'!$A$31:$G$89</definedName>
    <definedName name="_xlnm._FilterDatabase" localSheetId="6" hidden="1">'Даг 9'!$A$31:$G$89</definedName>
    <definedName name="_xlnm._FilterDatabase" localSheetId="7" hidden="1">'Даг 9-1'!$A$31:$G$89</definedName>
    <definedName name="_xlnm._FilterDatabase" localSheetId="9" hidden="1">'Даг.11-1'!$A$31:$G$90</definedName>
    <definedName name="_xlnm._FilterDatabase" localSheetId="15" hidden="1">'Лев 14-1'!$A$31:$G$89</definedName>
    <definedName name="_xlnm._FilterDatabase" localSheetId="16" hidden="1">'Лев 14-2'!$A$31:$G$89</definedName>
    <definedName name="_xlnm._FilterDatabase" localSheetId="17" hidden="1">'Лев 14-3'!$A$31:$G$89</definedName>
    <definedName name="_xlnm._FilterDatabase" localSheetId="18" hidden="1">'Лев 14-5'!$A$32:$B$88</definedName>
    <definedName name="_xlnm._FilterDatabase" localSheetId="19" hidden="1">'Лев 14-6'!$A$32:$B$87</definedName>
    <definedName name="_xlnm._FilterDatabase" localSheetId="20" hidden="1">'Лев 21а'!$A$31:$G$89</definedName>
    <definedName name="_xlnm._FilterDatabase" localSheetId="21" hidden="1">'Лев 22-2'!$A$32:$B$81</definedName>
    <definedName name="_xlnm._FilterDatabase" localSheetId="14" hidden="1">'Лев 7'!$A$31:$G$89</definedName>
    <definedName name="_xlnm._FilterDatabase" localSheetId="22" hidden="1">'Лев 71'!$A$32:$B$88</definedName>
    <definedName name="_xlnm._FilterDatabase" localSheetId="0" hidden="1">Лист1!$K$1:$O$220</definedName>
    <definedName name="_xlnm._FilterDatabase" localSheetId="37" hidden="1">'М.Дж. 66'!$A$32:$B$89</definedName>
    <definedName name="_xlnm._FilterDatabase" localSheetId="23" hidden="1">'Мин 58'!$A$32:$B$89</definedName>
    <definedName name="_xlnm._FilterDatabase" localSheetId="26" hidden="1">'Мус 11'!$A$31:$G$89</definedName>
    <definedName name="_xlnm._FilterDatabase" localSheetId="27" hidden="1">'Мус 13'!$A$31:$G$82</definedName>
    <definedName name="_xlnm._FilterDatabase" localSheetId="28" hidden="1">'Мус 13а'!$A$31:$G$87</definedName>
    <definedName name="_xlnm._FilterDatabase" localSheetId="29" hidden="1">'Мус 15'!$A$31:$G$88</definedName>
    <definedName name="_xlnm._FilterDatabase" localSheetId="30" hidden="1">'Мус 15-а'!$A$30:$G$87</definedName>
    <definedName name="_xlnm._FilterDatabase" localSheetId="31" hidden="1">'Мус 17'!$A$31:$G$89</definedName>
    <definedName name="_xlnm._FilterDatabase" localSheetId="32" hidden="1">'Мус 19-1'!$A$31:$G$87</definedName>
    <definedName name="_xlnm._FilterDatabase" localSheetId="33" hidden="1">'Мус 19а'!$A$31:$G$89</definedName>
    <definedName name="_xlnm._FilterDatabase" localSheetId="24" hidden="1">'Мус 7'!$A$31:$G$85</definedName>
    <definedName name="_xlnm._FilterDatabase" localSheetId="25" hidden="1">'Мус 9-а'!$A$31:$G$89</definedName>
    <definedName name="_xlnm._FilterDatabase" localSheetId="38" hidden="1">'Нов 2'!$A$32:$B$67</definedName>
    <definedName name="_xlnm._FilterDatabase" localSheetId="39" hidden="1">'Пр 1'!$A$31:$G$89</definedName>
    <definedName name="_xlnm._FilterDatabase" localSheetId="49" hidden="1">'Пр 10'!$A$31:$G$89</definedName>
    <definedName name="_xlnm._FilterDatabase" localSheetId="50" hidden="1">'Пр 10-а'!$A$31:$G$89</definedName>
    <definedName name="_xlnm._FilterDatabase" localSheetId="51" hidden="1">'Пр 11'!$A$31:$G$89</definedName>
    <definedName name="_xlnm._FilterDatabase" localSheetId="52" hidden="1">'Пр 13'!$A$31:$G$89</definedName>
    <definedName name="_xlnm._FilterDatabase" localSheetId="53" hidden="1">'Пр 15'!$A$31:$G$89</definedName>
    <definedName name="_xlnm._FilterDatabase" localSheetId="57" hidden="1">'Пр 18-3'!$A$32:$G$32</definedName>
    <definedName name="_xlnm._FilterDatabase" localSheetId="40" hidden="1">'Пр 2'!$A$31:$G$89</definedName>
    <definedName name="_xlnm._FilterDatabase" localSheetId="58" hidden="1">'Пр 20'!$A$31:$G$89</definedName>
    <definedName name="_xlnm._FilterDatabase" localSheetId="61" hidden="1">'Пр 25'!$A$32:$B$76</definedName>
    <definedName name="_xlnm._FilterDatabase" localSheetId="62" hidden="1">'Пр 25-1'!$A$32:$B$76</definedName>
    <definedName name="_xlnm._FilterDatabase" localSheetId="63" hidden="1">'Пр 25-2'!$A$32:$B$89</definedName>
    <definedName name="_xlnm._FilterDatabase" localSheetId="41" hidden="1">'Пр 3'!$A$31:$G$89</definedName>
    <definedName name="_xlnm._FilterDatabase" localSheetId="64" hidden="1">'Пр 31-1'!$A$32:$B$77</definedName>
    <definedName name="_xlnm._FilterDatabase" localSheetId="42" hidden="1">'Пр 4'!$A$31:$G$89</definedName>
    <definedName name="_xlnm._FilterDatabase" localSheetId="43" hidden="1">'Пр 4-1'!$A$31:$G$89</definedName>
    <definedName name="_xlnm._FilterDatabase" localSheetId="44" hidden="1">'Пр 6'!$A$31:$G$89</definedName>
    <definedName name="_xlnm._FilterDatabase" localSheetId="45" hidden="1">'Пр 6а'!$A$31:$G$89</definedName>
    <definedName name="_xlnm._FilterDatabase" localSheetId="46" hidden="1">'Пр 8'!$A$31:$G$89</definedName>
    <definedName name="_xlnm._FilterDatabase" localSheetId="47" hidden="1">'Пр 8-1'!$A$31:$G$89</definedName>
    <definedName name="_xlnm._FilterDatabase" localSheetId="48" hidden="1">'Пр 8-а'!$A$31:$G$89</definedName>
    <definedName name="_xlnm._FilterDatabase" localSheetId="68" hidden="1">'Тал 14'!$A$31:$G$89</definedName>
    <definedName name="_xlnm._FilterDatabase" localSheetId="70" hidden="1">'Тал 21а'!$A$31:$G$89</definedName>
    <definedName name="_xlnm._FilterDatabase" localSheetId="73" hidden="1">'Тал 23б'!$A$31:$G$89</definedName>
    <definedName name="_xlnm._FilterDatabase" localSheetId="74" hidden="1">'Тал 24-1'!$A$31:$G$89</definedName>
    <definedName name="_xlnm._FilterDatabase" localSheetId="75" hidden="1">'Тал 26-1'!$A$31:$G$90</definedName>
    <definedName name="_xlnm._FilterDatabase" localSheetId="76" hidden="1">'Тал 28-1'!$A$31:$G$89</definedName>
    <definedName name="_xlnm._FilterDatabase" localSheetId="65" hidden="1">'Тал 4'!$A$31:$G$89</definedName>
    <definedName name="_xlnm._FilterDatabase" localSheetId="66" hidden="1">'Тал 6'!$A$31:$G$89</definedName>
    <definedName name="_xlnm._FilterDatabase" localSheetId="67" hidden="1">'Тал 7'!$A$31:$G$89</definedName>
    <definedName name="_xlnm._FilterDatabase" localSheetId="77" hidden="1">Ухт.26!$A$31:$G$89</definedName>
    <definedName name="_xlnm._FilterDatabase" localSheetId="78" hidden="1">'Центр 1-2'!$A$31:$G$89</definedName>
    <definedName name="_xlnm._FilterDatabase" localSheetId="80" hidden="1">'Центр 18-1'!$A$31:$G$89</definedName>
    <definedName name="_xlnm._FilterDatabase" localSheetId="79" hidden="1">'Центр 6-1'!$A$31:$G$89</definedName>
    <definedName name="_xlnm.Print_Area" localSheetId="2">'1-я Стр 42'!$A$1:$B$94</definedName>
    <definedName name="_xlnm.Print_Area" localSheetId="3">'1-я Стр 44'!$A$1:$B$93</definedName>
    <definedName name="_xlnm.Print_Area" localSheetId="4">'1-я Стр 46'!$A$1:$B$93</definedName>
    <definedName name="_xlnm.Print_Area" localSheetId="8">'Даг 11'!$A$1:$B$94</definedName>
    <definedName name="_xlnm.Print_Area" localSheetId="10">'Даг 13'!$A$1:$B$93</definedName>
    <definedName name="_xlnm.Print_Area" localSheetId="11">'Даг 17'!$A$1:$B$87</definedName>
    <definedName name="_xlnm.Print_Area" localSheetId="12">'Даг 19'!$A$1:$B$94</definedName>
    <definedName name="_xlnm.Print_Area" localSheetId="13">'Даг 31'!$A$1:$B$94</definedName>
    <definedName name="_xlnm.Print_Area" localSheetId="5">'Даг 7'!$A$1:$B$94</definedName>
    <definedName name="_xlnm.Print_Area" localSheetId="6">'Даг 9'!$A$1:$B$94</definedName>
    <definedName name="_xlnm.Print_Area" localSheetId="7">'Даг 9-1'!$A$1:$B$94</definedName>
    <definedName name="_xlnm.Print_Area" localSheetId="9">'Даг.11-1'!$A$1:$B$94</definedName>
    <definedName name="_xlnm.Print_Area" localSheetId="15">'Лев 14-1'!$A$1:$B$94</definedName>
    <definedName name="_xlnm.Print_Area" localSheetId="16">'Лев 14-2'!$A$1:$B$93</definedName>
    <definedName name="_xlnm.Print_Area" localSheetId="17">'Лев 14-3'!$A$1:$B$94</definedName>
    <definedName name="_xlnm.Print_Area" localSheetId="18">'Лев 14-5'!$A$1:$B$93</definedName>
    <definedName name="_xlnm.Print_Area" localSheetId="19">'Лев 14-6'!$A$1:$B$92</definedName>
    <definedName name="_xlnm.Print_Area" localSheetId="20">'Лев 21а'!$A$1:$B$94</definedName>
    <definedName name="_xlnm.Print_Area" localSheetId="21">'Лев 22-2'!$A$1:$B$86</definedName>
    <definedName name="_xlnm.Print_Area" localSheetId="14">'Лев 7'!$A$1:$B$94</definedName>
    <definedName name="_xlnm.Print_Area" localSheetId="22">'Лев 71'!$A$1:$B$93</definedName>
    <definedName name="_xlnm.Print_Area" localSheetId="37">'М.Дж. 66'!$A$1:$B$94</definedName>
    <definedName name="_xlnm.Print_Area" localSheetId="23">'Мин 58'!$A$1:$B$94</definedName>
    <definedName name="_xlnm.Print_Area" localSheetId="26">'Мус 11'!$A$1:$B$94</definedName>
    <definedName name="_xlnm.Print_Area" localSheetId="27">'Мус 13'!$A$1:$B$87</definedName>
    <definedName name="_xlnm.Print_Area" localSheetId="28">'Мус 13а'!$A$1:$B$92</definedName>
    <definedName name="_xlnm.Print_Area" localSheetId="29">'Мус 15'!$A$1:$B$93</definedName>
    <definedName name="_xlnm.Print_Area" localSheetId="30">'Мус 15-а'!$A$1:$B$92</definedName>
    <definedName name="_xlnm.Print_Area" localSheetId="31">'Мус 17'!$A$1:$B$94</definedName>
    <definedName name="_xlnm.Print_Area" localSheetId="32">'Мус 19-1'!$A$1:$B$92</definedName>
    <definedName name="_xlnm.Print_Area" localSheetId="33">'Мус 19а'!$A$1:$B$94</definedName>
    <definedName name="_xlnm.Print_Area" localSheetId="34">'Мус 19б'!$A$1:$B$94</definedName>
    <definedName name="_xlnm.Print_Area" localSheetId="35">'Мус 21'!$A$1:$B$94</definedName>
    <definedName name="_xlnm.Print_Area" localSheetId="36">'Мус 25-1'!$A$1:$B$94</definedName>
    <definedName name="_xlnm.Print_Area" localSheetId="24">'Мус 7'!$A$1:$B$90</definedName>
    <definedName name="_xlnm.Print_Area" localSheetId="25">'Мус 9-а'!$A$1:$B$94</definedName>
    <definedName name="_xlnm.Print_Area" localSheetId="38">'Нов 2'!$A$1:$B$72</definedName>
    <definedName name="_xlnm.Print_Area" localSheetId="39">'Пр 1'!$A$1:$B$94</definedName>
    <definedName name="_xlnm.Print_Area" localSheetId="49">'Пр 10'!$A$1:$B$94</definedName>
    <definedName name="_xlnm.Print_Area" localSheetId="50">'Пр 10-а'!$A$1:$B$94</definedName>
    <definedName name="_xlnm.Print_Area" localSheetId="51">'Пр 11'!$A$1:$B$94</definedName>
    <definedName name="_xlnm.Print_Area" localSheetId="52">'Пр 13'!$A$1:$B$94</definedName>
    <definedName name="_xlnm.Print_Area" localSheetId="53">'Пр 15'!$A$1:$B$94</definedName>
    <definedName name="_xlnm.Print_Area" localSheetId="54">'Пр 18'!$A$1:$B$91</definedName>
    <definedName name="_xlnm.Print_Area" localSheetId="55">'Пр 18-1'!$A$1:$B$94</definedName>
    <definedName name="_xlnm.Print_Area" localSheetId="56">'Пр 18-2'!$A$1:$B$94</definedName>
    <definedName name="_xlnm.Print_Area" localSheetId="57">'Пр 18-3'!$A$1:$B$94</definedName>
    <definedName name="_xlnm.Print_Area" localSheetId="40">'Пр 2'!$A$1:$B$94</definedName>
    <definedName name="_xlnm.Print_Area" localSheetId="58">'Пр 20'!$A$1:$B$94</definedName>
    <definedName name="_xlnm.Print_Area" localSheetId="59">'Пр 20-1'!$A$1:$B$94</definedName>
    <definedName name="_xlnm.Print_Area" localSheetId="60">'Пр 20-2'!$A$1:$B$94</definedName>
    <definedName name="_xlnm.Print_Area" localSheetId="61">'Пр 25'!$A$1:$B$81</definedName>
    <definedName name="_xlnm.Print_Area" localSheetId="62">'Пр 25-1'!$A$1:$B$81</definedName>
    <definedName name="_xlnm.Print_Area" localSheetId="63">'Пр 25-2'!$A$1:$B$94</definedName>
    <definedName name="_xlnm.Print_Area" localSheetId="41">'Пр 3'!$A$1:$B$94</definedName>
    <definedName name="_xlnm.Print_Area" localSheetId="64">'Пр 31-1'!$A$1:$B$82</definedName>
    <definedName name="_xlnm.Print_Area" localSheetId="42">'Пр 4'!$A$1:$B$94</definedName>
    <definedName name="_xlnm.Print_Area" localSheetId="43">'Пр 4-1'!$A$1:$B$94</definedName>
    <definedName name="_xlnm.Print_Area" localSheetId="44">'Пр 6'!$A$1:$B$94</definedName>
    <definedName name="_xlnm.Print_Area" localSheetId="45">'Пр 6а'!$A$1:$B$94</definedName>
    <definedName name="_xlnm.Print_Area" localSheetId="46">'Пр 8'!$A$1:$B$94</definedName>
    <definedName name="_xlnm.Print_Area" localSheetId="47">'Пр 8-1'!$A$1:$B$94</definedName>
    <definedName name="_xlnm.Print_Area" localSheetId="48">'Пр 8-а'!$A$1:$B$94</definedName>
    <definedName name="_xlnm.Print_Area" localSheetId="68">'Тал 14'!$A$1:$B$94</definedName>
    <definedName name="_xlnm.Print_Area" localSheetId="69">'Тал 21'!$A$1:$B$94</definedName>
    <definedName name="_xlnm.Print_Area" localSheetId="70">'Тал 21а'!$A$1:$B$94</definedName>
    <definedName name="_xlnm.Print_Area" localSheetId="71">'Тал 23'!$A$1:$B$94</definedName>
    <definedName name="_xlnm.Print_Area" localSheetId="72">'Тал 23а'!$A$1:$B$94</definedName>
    <definedName name="_xlnm.Print_Area" localSheetId="73">'Тал 23б'!$A$1:$B$95</definedName>
    <definedName name="_xlnm.Print_Area" localSheetId="74">'Тал 24-1'!$A$1:$B$94</definedName>
    <definedName name="_xlnm.Print_Area" localSheetId="75">'Тал 26-1'!$A$1:$B$93</definedName>
    <definedName name="_xlnm.Print_Area" localSheetId="76">'Тал 28-1'!$A$1:$B$94</definedName>
    <definedName name="_xlnm.Print_Area" localSheetId="65">'Тал 4'!$A$1:$B$94</definedName>
    <definedName name="_xlnm.Print_Area" localSheetId="66">'Тал 6'!$A$1:$B$94</definedName>
    <definedName name="_xlnm.Print_Area" localSheetId="67">'Тал 7'!$A$1:$B$94</definedName>
    <definedName name="_xlnm.Print_Area" localSheetId="77">Ухт.26!$A$1:$B$94</definedName>
    <definedName name="_xlnm.Print_Area" localSheetId="78">'Центр 1-2'!$A$1:$B$94</definedName>
    <definedName name="_xlnm.Print_Area" localSheetId="80">'Центр 18-1'!$A$1:$B$94</definedName>
    <definedName name="_xlnm.Print_Area" localSheetId="79">'Центр 6-1'!$A$1:$B$94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0" i="52" l="1"/>
  <c r="B80" i="51"/>
  <c r="B80" i="53"/>
  <c r="B80" i="48"/>
  <c r="B80" i="54"/>
  <c r="B80" i="55"/>
  <c r="B80" i="56"/>
  <c r="B80" i="21"/>
  <c r="B80" i="22"/>
  <c r="B80" i="23"/>
  <c r="B80" i="24"/>
  <c r="B80" i="25"/>
  <c r="B80" i="57"/>
  <c r="B80" i="58"/>
  <c r="B80" i="59"/>
  <c r="B80" i="60"/>
  <c r="B68" i="15"/>
  <c r="B80" i="16"/>
  <c r="B67" i="17"/>
  <c r="B67" i="18"/>
  <c r="B80" i="26"/>
  <c r="B80" i="27"/>
  <c r="B80" i="28"/>
  <c r="B80" i="29"/>
  <c r="B80" i="30"/>
  <c r="B80" i="31"/>
  <c r="B77" i="32"/>
  <c r="B80" i="61"/>
  <c r="B80" i="62"/>
  <c r="B80" i="63"/>
  <c r="B80" i="64"/>
  <c r="B80" i="65"/>
  <c r="B80" i="67"/>
  <c r="B80" i="66"/>
  <c r="B80" i="68"/>
  <c r="B80" i="69"/>
  <c r="B80" i="70"/>
  <c r="B80" i="71"/>
  <c r="B80" i="72"/>
  <c r="B80" i="73"/>
  <c r="B80" i="74"/>
  <c r="B80" i="75"/>
  <c r="B58" i="85"/>
  <c r="B80" i="49"/>
  <c r="B80" i="33"/>
  <c r="B80" i="34"/>
  <c r="B80" i="35"/>
  <c r="B80" i="36"/>
  <c r="B78" i="37"/>
  <c r="B80" i="38"/>
  <c r="B78" i="39"/>
  <c r="B79" i="40"/>
  <c r="B78" i="42"/>
  <c r="B73" i="41"/>
  <c r="B80" i="43"/>
  <c r="B80" i="81"/>
  <c r="B59" i="83"/>
  <c r="B80" i="19"/>
  <c r="B79" i="20"/>
  <c r="B72" i="14"/>
  <c r="B80" i="13"/>
  <c r="B78" i="12"/>
  <c r="B79" i="11"/>
  <c r="B80" i="10"/>
  <c r="B63" i="9"/>
  <c r="B80" i="8"/>
  <c r="B80" i="77"/>
  <c r="B80" i="44"/>
  <c r="B80" i="45"/>
  <c r="B73" i="46"/>
  <c r="B79" i="7"/>
  <c r="B80" i="47"/>
  <c r="B80" i="6"/>
  <c r="B80" i="78"/>
  <c r="B80" i="79"/>
  <c r="B80" i="80"/>
  <c r="B79" i="5"/>
  <c r="B79" i="4"/>
  <c r="B80" i="3"/>
  <c r="B51" i="53"/>
  <c r="B52" i="48"/>
  <c r="B49" i="54"/>
  <c r="B51" i="15"/>
  <c r="B59" i="16"/>
  <c r="B54" i="18"/>
  <c r="B62" i="26"/>
  <c r="B59" i="61"/>
  <c r="B49" i="63"/>
  <c r="B57" i="75"/>
  <c r="B65" i="33"/>
  <c r="B61" i="34"/>
  <c r="B50" i="43"/>
  <c r="B59" i="19"/>
  <c r="B59" i="20"/>
  <c r="B65" i="10"/>
  <c r="B62" i="9"/>
  <c r="B55" i="8"/>
  <c r="B62" i="77"/>
  <c r="B56" i="53"/>
  <c r="B63" i="54"/>
  <c r="B76" i="83"/>
  <c r="B80" i="9"/>
  <c r="B63" i="8"/>
  <c r="B49" i="47"/>
  <c r="B10" i="4"/>
  <c r="B10" i="5"/>
  <c r="B10" i="80"/>
  <c r="B10" i="79"/>
  <c r="B10" i="78"/>
  <c r="B10" i="6"/>
  <c r="B10" i="47"/>
  <c r="B10" i="7"/>
  <c r="B10" i="46"/>
  <c r="B10" i="45"/>
  <c r="B10" i="44"/>
  <c r="B10" i="77"/>
  <c r="B10" i="8"/>
  <c r="B10" i="9"/>
  <c r="B10" i="10"/>
  <c r="B10" i="11"/>
  <c r="B10" i="12"/>
  <c r="B10" i="13"/>
  <c r="B10" i="14"/>
  <c r="B10" i="20"/>
  <c r="B10" i="19"/>
  <c r="B10" i="83"/>
  <c r="B10" i="81"/>
  <c r="B10" i="43"/>
  <c r="B10" i="41"/>
  <c r="B10" i="42"/>
  <c r="B10" i="40"/>
  <c r="B10" i="39"/>
  <c r="B10" i="38"/>
  <c r="B10" i="37"/>
  <c r="B10" i="36"/>
  <c r="B10" i="35"/>
  <c r="B10" i="34"/>
  <c r="B10" i="33"/>
  <c r="B10" i="49"/>
  <c r="B10" i="85"/>
  <c r="B10" i="75"/>
  <c r="B10" i="74"/>
  <c r="B10" i="73"/>
  <c r="B10" i="72"/>
  <c r="B10" i="71"/>
  <c r="B10" i="70"/>
  <c r="B10" i="69"/>
  <c r="B10" i="68"/>
  <c r="B10" i="66"/>
  <c r="B10" i="67"/>
  <c r="B10" i="65"/>
  <c r="B10" i="64"/>
  <c r="B10" i="63"/>
  <c r="B10" i="62"/>
  <c r="B10" i="61"/>
  <c r="B10" i="32"/>
  <c r="B10" i="31"/>
  <c r="B10" i="30"/>
  <c r="B10" i="29"/>
  <c r="B10" i="28"/>
  <c r="B10" i="27"/>
  <c r="B10" i="26"/>
  <c r="B10" i="17"/>
  <c r="B10" i="16"/>
  <c r="B10" i="15"/>
  <c r="B10" i="60"/>
  <c r="B10" i="59"/>
  <c r="B10" i="58"/>
  <c r="B10" i="57"/>
  <c r="B10" i="25"/>
  <c r="B10" i="24"/>
  <c r="B10" i="23"/>
  <c r="B10" i="22"/>
  <c r="B10" i="56"/>
  <c r="B10" i="55"/>
  <c r="B10" i="54"/>
  <c r="B10" i="48"/>
  <c r="B10" i="53"/>
  <c r="B10" i="52"/>
  <c r="B10" i="51"/>
  <c r="B10" i="3"/>
  <c r="B57" i="85"/>
  <c r="B55" i="85"/>
  <c r="B54" i="85"/>
  <c r="B53" i="85" s="1"/>
  <c r="B46" i="85"/>
  <c r="B42" i="85"/>
  <c r="B40" i="85"/>
  <c r="B38" i="85"/>
  <c r="G32" i="85"/>
  <c r="F32" i="85"/>
  <c r="B32" i="85"/>
  <c r="B60" i="85" s="1"/>
  <c r="B27" i="85"/>
  <c r="B25" i="85"/>
  <c r="B24" i="85"/>
  <c r="B67" i="85" s="1"/>
  <c r="B16" i="85"/>
  <c r="B15" i="85"/>
  <c r="B15" i="83"/>
  <c r="B16" i="83"/>
  <c r="B24" i="83"/>
  <c r="B25" i="83"/>
  <c r="B27" i="83"/>
  <c r="B32" i="83"/>
  <c r="F32" i="83"/>
  <c r="G32" i="83"/>
  <c r="B41" i="83"/>
  <c r="B38" i="83" s="1"/>
  <c r="B48" i="83"/>
  <c r="D52" i="83"/>
  <c r="D53" i="83"/>
  <c r="B55" i="83"/>
  <c r="D61" i="83"/>
  <c r="B64" i="83"/>
  <c r="B66" i="83"/>
  <c r="B67" i="83"/>
  <c r="B68" i="83"/>
  <c r="B69" i="83"/>
  <c r="B70" i="83"/>
  <c r="B72" i="83"/>
  <c r="B71" i="83" s="1"/>
  <c r="B74" i="83"/>
  <c r="B75" i="83"/>
  <c r="B77" i="83"/>
  <c r="B15" i="81"/>
  <c r="B16" i="81"/>
  <c r="B24" i="81"/>
  <c r="B89" i="81" s="1"/>
  <c r="B25" i="81"/>
  <c r="B27" i="81"/>
  <c r="F32" i="81"/>
  <c r="G32" i="81"/>
  <c r="B33" i="81"/>
  <c r="B32" i="81" s="1"/>
  <c r="B35" i="81"/>
  <c r="B43" i="81"/>
  <c r="B42" i="81" s="1"/>
  <c r="B44" i="81"/>
  <c r="B45" i="81"/>
  <c r="B46" i="81"/>
  <c r="E55" i="81"/>
  <c r="D56" i="81"/>
  <c r="D57" i="81"/>
  <c r="B59" i="81"/>
  <c r="D65" i="81"/>
  <c r="B68" i="81"/>
  <c r="B70" i="81"/>
  <c r="B72" i="81"/>
  <c r="B73" i="81"/>
  <c r="B75" i="81"/>
  <c r="B76" i="81"/>
  <c r="B78" i="81"/>
  <c r="B77" i="81" s="1"/>
  <c r="B79" i="81"/>
  <c r="B81" i="81"/>
  <c r="B62" i="83"/>
  <c r="B81" i="80"/>
  <c r="B79" i="80"/>
  <c r="B76" i="80"/>
  <c r="B75" i="80" s="1"/>
  <c r="B74" i="80"/>
  <c r="B73" i="80"/>
  <c r="B72" i="80"/>
  <c r="B70" i="80"/>
  <c r="B68" i="80"/>
  <c r="D65" i="80"/>
  <c r="B59" i="80"/>
  <c r="B46" i="80" s="1"/>
  <c r="F51" i="80" s="1"/>
  <c r="D57" i="80"/>
  <c r="D56" i="80"/>
  <c r="B52" i="80"/>
  <c r="B33" i="80"/>
  <c r="B32" i="80"/>
  <c r="G32" i="80"/>
  <c r="F32" i="80"/>
  <c r="B25" i="80"/>
  <c r="B24" i="80"/>
  <c r="B16" i="80"/>
  <c r="B15" i="80"/>
  <c r="B81" i="79"/>
  <c r="B79" i="79"/>
  <c r="B76" i="79"/>
  <c r="B75" i="79"/>
  <c r="B74" i="79"/>
  <c r="B73" i="79"/>
  <c r="B70" i="79"/>
  <c r="B68" i="79"/>
  <c r="D65" i="79"/>
  <c r="B59" i="79"/>
  <c r="D57" i="79"/>
  <c r="D56" i="79"/>
  <c r="B52" i="79"/>
  <c r="B46" i="79" s="1"/>
  <c r="H48" i="79" s="1"/>
  <c r="B33" i="79"/>
  <c r="G32" i="79"/>
  <c r="F32" i="79"/>
  <c r="B32" i="79"/>
  <c r="B25" i="79"/>
  <c r="B24" i="79"/>
  <c r="B16" i="79"/>
  <c r="B15" i="79"/>
  <c r="B71" i="79"/>
  <c r="B81" i="78"/>
  <c r="B79" i="78"/>
  <c r="B76" i="78"/>
  <c r="B75" i="78"/>
  <c r="B74" i="78"/>
  <c r="B73" i="78"/>
  <c r="B70" i="78"/>
  <c r="B68" i="78"/>
  <c r="B59" i="78"/>
  <c r="D57" i="78"/>
  <c r="D56" i="78"/>
  <c r="B52" i="78"/>
  <c r="B33" i="78"/>
  <c r="B32" i="78" s="1"/>
  <c r="G32" i="78"/>
  <c r="F32" i="78"/>
  <c r="B25" i="78"/>
  <c r="B24" i="78"/>
  <c r="B16" i="78"/>
  <c r="B15" i="78"/>
  <c r="B78" i="78" s="1"/>
  <c r="B71" i="78"/>
  <c r="B81" i="77"/>
  <c r="B77" i="77" s="1"/>
  <c r="B79" i="77"/>
  <c r="B76" i="77"/>
  <c r="B75" i="77" s="1"/>
  <c r="B74" i="77"/>
  <c r="B73" i="77"/>
  <c r="B70" i="77"/>
  <c r="B68" i="77"/>
  <c r="D65" i="77"/>
  <c r="D57" i="77"/>
  <c r="D56" i="77"/>
  <c r="B46" i="77"/>
  <c r="G32" i="77"/>
  <c r="F32" i="77"/>
  <c r="B32" i="77"/>
  <c r="B25" i="77"/>
  <c r="B24" i="77"/>
  <c r="B16" i="77"/>
  <c r="B15" i="77"/>
  <c r="B71" i="77" s="1"/>
  <c r="B81" i="75"/>
  <c r="B79" i="75"/>
  <c r="B76" i="75"/>
  <c r="B75" i="75"/>
  <c r="B74" i="75"/>
  <c r="B73" i="75"/>
  <c r="B70" i="75"/>
  <c r="B68" i="75"/>
  <c r="C58" i="75"/>
  <c r="D57" i="75"/>
  <c r="D56" i="75"/>
  <c r="D49" i="75"/>
  <c r="B46" i="75"/>
  <c r="G32" i="75"/>
  <c r="F32" i="75"/>
  <c r="B32" i="75"/>
  <c r="B25" i="75"/>
  <c r="B24" i="75"/>
  <c r="B16" i="75"/>
  <c r="B15" i="75"/>
  <c r="B78" i="75" s="1"/>
  <c r="B77" i="75" s="1"/>
  <c r="B81" i="74"/>
  <c r="B79" i="74"/>
  <c r="B76" i="74"/>
  <c r="B75" i="74"/>
  <c r="B74" i="74"/>
  <c r="B73" i="74"/>
  <c r="B70" i="74"/>
  <c r="B68" i="74"/>
  <c r="D65" i="74"/>
  <c r="B59" i="74"/>
  <c r="D57" i="74"/>
  <c r="D56" i="74"/>
  <c r="B52" i="74"/>
  <c r="B33" i="74"/>
  <c r="B32" i="74"/>
  <c r="G32" i="74"/>
  <c r="F32" i="74"/>
  <c r="B25" i="74"/>
  <c r="B24" i="74"/>
  <c r="B16" i="74"/>
  <c r="B15" i="74"/>
  <c r="B72" i="74" s="1"/>
  <c r="B81" i="73"/>
  <c r="B79" i="73"/>
  <c r="B77" i="73" s="1"/>
  <c r="B76" i="73"/>
  <c r="B75" i="73"/>
  <c r="B74" i="73"/>
  <c r="B73" i="73"/>
  <c r="B70" i="73"/>
  <c r="B68" i="73"/>
  <c r="B59" i="73"/>
  <c r="B46" i="73" s="1"/>
  <c r="D57" i="73"/>
  <c r="D56" i="73"/>
  <c r="B44" i="73"/>
  <c r="G32" i="73"/>
  <c r="F32" i="73"/>
  <c r="B32" i="73"/>
  <c r="B27" i="73"/>
  <c r="B25" i="73"/>
  <c r="B24" i="73"/>
  <c r="B89" i="73" s="1"/>
  <c r="B16" i="73"/>
  <c r="B15" i="73"/>
  <c r="B78" i="73"/>
  <c r="B81" i="72"/>
  <c r="B79" i="72"/>
  <c r="B76" i="72"/>
  <c r="B75" i="72"/>
  <c r="B74" i="72"/>
  <c r="B73" i="72"/>
  <c r="B70" i="72"/>
  <c r="B66" i="72" s="1"/>
  <c r="B68" i="72"/>
  <c r="D65" i="72"/>
  <c r="B59" i="72"/>
  <c r="D57" i="72"/>
  <c r="D56" i="72"/>
  <c r="B52" i="72"/>
  <c r="B46" i="72" s="1"/>
  <c r="B33" i="72"/>
  <c r="B32" i="72"/>
  <c r="G32" i="72"/>
  <c r="F32" i="72"/>
  <c r="B25" i="72"/>
  <c r="B24" i="72"/>
  <c r="B16" i="72"/>
  <c r="B15" i="72"/>
  <c r="B81" i="71"/>
  <c r="B79" i="71"/>
  <c r="B76" i="71"/>
  <c r="B75" i="71" s="1"/>
  <c r="B74" i="71"/>
  <c r="B73" i="71"/>
  <c r="B70" i="71"/>
  <c r="B68" i="71"/>
  <c r="D65" i="71"/>
  <c r="B59" i="71"/>
  <c r="B46" i="71"/>
  <c r="D57" i="71"/>
  <c r="D56" i="71"/>
  <c r="B33" i="71"/>
  <c r="B32" i="71"/>
  <c r="G32" i="71"/>
  <c r="F32" i="71"/>
  <c r="B27" i="71"/>
  <c r="B25" i="71"/>
  <c r="B24" i="71"/>
  <c r="B16" i="71"/>
  <c r="B15" i="71"/>
  <c r="B71" i="71" s="1"/>
  <c r="B81" i="70"/>
  <c r="B79" i="70"/>
  <c r="B77" i="70" s="1"/>
  <c r="B76" i="70"/>
  <c r="B75" i="70"/>
  <c r="B74" i="70"/>
  <c r="B73" i="70"/>
  <c r="B70" i="70"/>
  <c r="B66" i="70" s="1"/>
  <c r="B68" i="70"/>
  <c r="D65" i="70"/>
  <c r="B59" i="70"/>
  <c r="D57" i="70"/>
  <c r="D56" i="70"/>
  <c r="B52" i="70"/>
  <c r="B33" i="70"/>
  <c r="G32" i="70"/>
  <c r="F32" i="70"/>
  <c r="B32" i="70"/>
  <c r="B25" i="70"/>
  <c r="B24" i="70"/>
  <c r="B16" i="70"/>
  <c r="B15" i="70"/>
  <c r="B78" i="70" s="1"/>
  <c r="B81" i="69"/>
  <c r="B79" i="69"/>
  <c r="B76" i="69"/>
  <c r="B75" i="69"/>
  <c r="B74" i="69"/>
  <c r="B73" i="69"/>
  <c r="B70" i="69"/>
  <c r="B66" i="69" s="1"/>
  <c r="B82" i="69" s="1"/>
  <c r="B68" i="69"/>
  <c r="D65" i="69"/>
  <c r="B59" i="69"/>
  <c r="B46" i="69" s="1"/>
  <c r="D57" i="69"/>
  <c r="D56" i="69"/>
  <c r="B52" i="69"/>
  <c r="B33" i="69"/>
  <c r="B32" i="69" s="1"/>
  <c r="G32" i="69"/>
  <c r="F32" i="69"/>
  <c r="B27" i="69"/>
  <c r="B25" i="69"/>
  <c r="B89" i="69" s="1"/>
  <c r="B24" i="69"/>
  <c r="B16" i="69"/>
  <c r="B15" i="69"/>
  <c r="B72" i="69" s="1"/>
  <c r="B81" i="68"/>
  <c r="B79" i="68"/>
  <c r="B77" i="68" s="1"/>
  <c r="B76" i="68"/>
  <c r="B75" i="68" s="1"/>
  <c r="B74" i="68"/>
  <c r="B73" i="68"/>
  <c r="B70" i="68"/>
  <c r="B68" i="68"/>
  <c r="D65" i="68"/>
  <c r="D57" i="68"/>
  <c r="D56" i="68"/>
  <c r="B52" i="68"/>
  <c r="B46" i="68"/>
  <c r="B45" i="68"/>
  <c r="B42" i="68"/>
  <c r="G32" i="68"/>
  <c r="F32" i="68"/>
  <c r="B32" i="68"/>
  <c r="B25" i="68"/>
  <c r="B24" i="68"/>
  <c r="B16" i="68"/>
  <c r="B15" i="68"/>
  <c r="B71" i="68"/>
  <c r="B81" i="67"/>
  <c r="B79" i="67"/>
  <c r="B76" i="67"/>
  <c r="B75" i="67" s="1"/>
  <c r="B74" i="67"/>
  <c r="B73" i="67"/>
  <c r="B70" i="67"/>
  <c r="B68" i="67"/>
  <c r="B66" i="67" s="1"/>
  <c r="D65" i="67"/>
  <c r="B59" i="67"/>
  <c r="D57" i="67"/>
  <c r="D56" i="67"/>
  <c r="B52" i="67"/>
  <c r="B33" i="67"/>
  <c r="B32" i="67" s="1"/>
  <c r="G32" i="67"/>
  <c r="F32" i="67"/>
  <c r="B27" i="67"/>
  <c r="B25" i="67"/>
  <c r="B89" i="67" s="1"/>
  <c r="B24" i="67"/>
  <c r="B16" i="67"/>
  <c r="B15" i="67"/>
  <c r="B81" i="66"/>
  <c r="B79" i="66"/>
  <c r="B76" i="66"/>
  <c r="B75" i="66" s="1"/>
  <c r="B74" i="66"/>
  <c r="B73" i="66"/>
  <c r="B71" i="66"/>
  <c r="B66" i="66" s="1"/>
  <c r="B82" i="66" s="1"/>
  <c r="B70" i="66"/>
  <c r="B68" i="66"/>
  <c r="D65" i="66"/>
  <c r="B59" i="66"/>
  <c r="D57" i="66"/>
  <c r="D56" i="66"/>
  <c r="B52" i="66"/>
  <c r="B45" i="66"/>
  <c r="B42" i="66"/>
  <c r="B33" i="66"/>
  <c r="G32" i="66"/>
  <c r="F32" i="66"/>
  <c r="B32" i="66"/>
  <c r="B27" i="66"/>
  <c r="B25" i="66"/>
  <c r="B24" i="66"/>
  <c r="B89" i="66" s="1"/>
  <c r="B16" i="66"/>
  <c r="B15" i="66"/>
  <c r="B78" i="66"/>
  <c r="B81" i="65"/>
  <c r="B79" i="65"/>
  <c r="B76" i="65"/>
  <c r="B75" i="65" s="1"/>
  <c r="B74" i="65"/>
  <c r="B73" i="65"/>
  <c r="B70" i="65"/>
  <c r="B68" i="65"/>
  <c r="D65" i="65"/>
  <c r="B59" i="65"/>
  <c r="D57" i="65"/>
  <c r="D56" i="65"/>
  <c r="B52" i="65"/>
  <c r="B33" i="65"/>
  <c r="B32" i="65" s="1"/>
  <c r="G32" i="65"/>
  <c r="F32" i="65"/>
  <c r="B25" i="65"/>
  <c r="B24" i="65"/>
  <c r="B16" i="65"/>
  <c r="B15" i="65"/>
  <c r="B81" i="64"/>
  <c r="B79" i="64"/>
  <c r="B76" i="64"/>
  <c r="B75" i="64"/>
  <c r="B74" i="64"/>
  <c r="B73" i="64"/>
  <c r="B70" i="64"/>
  <c r="B68" i="64"/>
  <c r="D65" i="64"/>
  <c r="B59" i="64"/>
  <c r="D57" i="64"/>
  <c r="D56" i="64"/>
  <c r="B52" i="64"/>
  <c r="B46" i="64"/>
  <c r="B33" i="64"/>
  <c r="B32" i="64"/>
  <c r="G32" i="64"/>
  <c r="F32" i="64"/>
  <c r="B27" i="64"/>
  <c r="B25" i="64"/>
  <c r="B24" i="64"/>
  <c r="B16" i="64"/>
  <c r="B15" i="64"/>
  <c r="B81" i="63"/>
  <c r="B79" i="63"/>
  <c r="B76" i="63"/>
  <c r="B75" i="63" s="1"/>
  <c r="B74" i="63"/>
  <c r="B73" i="63"/>
  <c r="B70" i="63"/>
  <c r="B68" i="63"/>
  <c r="D65" i="63"/>
  <c r="B59" i="63"/>
  <c r="D57" i="63"/>
  <c r="D56" i="63"/>
  <c r="B52" i="63"/>
  <c r="B46" i="63" s="1"/>
  <c r="B33" i="63"/>
  <c r="B32" i="63" s="1"/>
  <c r="G32" i="63"/>
  <c r="F32" i="63"/>
  <c r="B25" i="63"/>
  <c r="B24" i="63"/>
  <c r="B16" i="63"/>
  <c r="B15" i="63"/>
  <c r="B71" i="63" s="1"/>
  <c r="B81" i="62"/>
  <c r="B79" i="62"/>
  <c r="B76" i="62"/>
  <c r="B75" i="62"/>
  <c r="B74" i="62"/>
  <c r="B73" i="62"/>
  <c r="B70" i="62"/>
  <c r="B68" i="62"/>
  <c r="B59" i="62"/>
  <c r="D57" i="62"/>
  <c r="D56" i="62"/>
  <c r="B52" i="62"/>
  <c r="B46" i="62" s="1"/>
  <c r="B33" i="62"/>
  <c r="B32" i="62"/>
  <c r="G32" i="62"/>
  <c r="F32" i="62"/>
  <c r="B25" i="62"/>
  <c r="B24" i="62"/>
  <c r="B16" i="62"/>
  <c r="B15" i="62"/>
  <c r="B45" i="62" s="1"/>
  <c r="B42" i="62" s="1"/>
  <c r="B81" i="61"/>
  <c r="B79" i="61"/>
  <c r="B76" i="61"/>
  <c r="B75" i="61" s="1"/>
  <c r="B74" i="61"/>
  <c r="B73" i="61"/>
  <c r="B70" i="61"/>
  <c r="B68" i="61"/>
  <c r="D57" i="61"/>
  <c r="D56" i="61"/>
  <c r="E50" i="61"/>
  <c r="D49" i="61"/>
  <c r="B33" i="61"/>
  <c r="B32" i="61"/>
  <c r="G32" i="61"/>
  <c r="F32" i="61"/>
  <c r="B25" i="61"/>
  <c r="B24" i="61"/>
  <c r="B16" i="61"/>
  <c r="B15" i="61"/>
  <c r="B78" i="61" s="1"/>
  <c r="B81" i="60"/>
  <c r="B79" i="60"/>
  <c r="B77" i="60" s="1"/>
  <c r="B76" i="60"/>
  <c r="B75" i="60"/>
  <c r="B74" i="60"/>
  <c r="B73" i="60"/>
  <c r="B70" i="60"/>
  <c r="B68" i="60"/>
  <c r="D65" i="60"/>
  <c r="D57" i="60"/>
  <c r="D56" i="60"/>
  <c r="B52" i="60"/>
  <c r="B46" i="60"/>
  <c r="B33" i="60"/>
  <c r="B32" i="60" s="1"/>
  <c r="G32" i="60"/>
  <c r="F32" i="60"/>
  <c r="B27" i="60"/>
  <c r="B25" i="60"/>
  <c r="B24" i="60"/>
  <c r="B89" i="60" s="1"/>
  <c r="B16" i="60"/>
  <c r="B15" i="60"/>
  <c r="B78" i="60" s="1"/>
  <c r="B81" i="59"/>
  <c r="B79" i="59"/>
  <c r="B76" i="59"/>
  <c r="B75" i="59" s="1"/>
  <c r="B74" i="59"/>
  <c r="B73" i="59"/>
  <c r="B70" i="59"/>
  <c r="B68" i="59"/>
  <c r="D65" i="59"/>
  <c r="B59" i="59"/>
  <c r="B46" i="59"/>
  <c r="D57" i="59"/>
  <c r="D56" i="59"/>
  <c r="B33" i="59"/>
  <c r="G32" i="59"/>
  <c r="F32" i="59"/>
  <c r="B32" i="59"/>
  <c r="B25" i="59"/>
  <c r="B24" i="59"/>
  <c r="B89" i="59" s="1"/>
  <c r="B16" i="59"/>
  <c r="B15" i="59"/>
  <c r="B78" i="59"/>
  <c r="B81" i="58"/>
  <c r="B79" i="58"/>
  <c r="B77" i="58" s="1"/>
  <c r="B76" i="58"/>
  <c r="B75" i="58"/>
  <c r="B74" i="58"/>
  <c r="B73" i="58"/>
  <c r="B70" i="58"/>
  <c r="B68" i="58"/>
  <c r="B59" i="58"/>
  <c r="D57" i="58"/>
  <c r="D56" i="58"/>
  <c r="B46" i="58"/>
  <c r="B33" i="58"/>
  <c r="B32" i="58" s="1"/>
  <c r="G32" i="58"/>
  <c r="F32" i="58"/>
  <c r="B25" i="58"/>
  <c r="B24" i="58"/>
  <c r="B16" i="58"/>
  <c r="B15" i="58"/>
  <c r="B45" i="58"/>
  <c r="B42" i="58"/>
  <c r="B81" i="57"/>
  <c r="B79" i="57"/>
  <c r="B76" i="57"/>
  <c r="B75" i="57" s="1"/>
  <c r="B74" i="57"/>
  <c r="B73" i="57"/>
  <c r="B70" i="57"/>
  <c r="B68" i="57"/>
  <c r="B66" i="57" s="1"/>
  <c r="B82" i="57" s="1"/>
  <c r="B83" i="57" s="1"/>
  <c r="D65" i="57"/>
  <c r="D57" i="57"/>
  <c r="D56" i="57"/>
  <c r="B52" i="57"/>
  <c r="B46" i="57"/>
  <c r="B33" i="57"/>
  <c r="B32" i="57" s="1"/>
  <c r="G32" i="57"/>
  <c r="F32" i="57"/>
  <c r="B25" i="57"/>
  <c r="B24" i="57"/>
  <c r="B16" i="57"/>
  <c r="B15" i="57"/>
  <c r="B78" i="57"/>
  <c r="B77" i="57"/>
  <c r="B81" i="56"/>
  <c r="B79" i="56"/>
  <c r="B76" i="56"/>
  <c r="B75" i="56"/>
  <c r="B74" i="56"/>
  <c r="B73" i="56"/>
  <c r="B70" i="56"/>
  <c r="B68" i="56"/>
  <c r="D65" i="56"/>
  <c r="B59" i="56"/>
  <c r="D57" i="56"/>
  <c r="D56" i="56"/>
  <c r="B52" i="56"/>
  <c r="B46" i="56" s="1"/>
  <c r="B33" i="56"/>
  <c r="B32" i="56" s="1"/>
  <c r="G32" i="56"/>
  <c r="F32" i="56"/>
  <c r="B27" i="56"/>
  <c r="B25" i="56"/>
  <c r="B24" i="56"/>
  <c r="B16" i="56"/>
  <c r="B15" i="56"/>
  <c r="B71" i="56"/>
  <c r="B81" i="55"/>
  <c r="B79" i="55"/>
  <c r="B78" i="55"/>
  <c r="B76" i="55"/>
  <c r="B75" i="55" s="1"/>
  <c r="B74" i="55"/>
  <c r="B73" i="55"/>
  <c r="B70" i="55"/>
  <c r="B68" i="55"/>
  <c r="B66" i="55" s="1"/>
  <c r="B59" i="55"/>
  <c r="D57" i="55"/>
  <c r="D56" i="55"/>
  <c r="B52" i="55"/>
  <c r="B45" i="55"/>
  <c r="B42" i="55" s="1"/>
  <c r="B33" i="55"/>
  <c r="G32" i="55"/>
  <c r="F32" i="55"/>
  <c r="B32" i="55"/>
  <c r="B27" i="55"/>
  <c r="B25" i="55"/>
  <c r="B24" i="55"/>
  <c r="B16" i="55"/>
  <c r="B15" i="55"/>
  <c r="B71" i="55"/>
  <c r="B81" i="54"/>
  <c r="B79" i="54"/>
  <c r="B76" i="54"/>
  <c r="B75" i="54" s="1"/>
  <c r="B74" i="54"/>
  <c r="B73" i="54"/>
  <c r="B70" i="54"/>
  <c r="B68" i="54"/>
  <c r="B59" i="54"/>
  <c r="D57" i="54"/>
  <c r="D56" i="54"/>
  <c r="B52" i="54"/>
  <c r="B46" i="54" s="1"/>
  <c r="B33" i="54"/>
  <c r="B32" i="54" s="1"/>
  <c r="G32" i="54"/>
  <c r="F32" i="54"/>
  <c r="B27" i="54"/>
  <c r="B25" i="54"/>
  <c r="B24" i="54"/>
  <c r="B89" i="54" s="1"/>
  <c r="B16" i="54"/>
  <c r="B15" i="54"/>
  <c r="B81" i="53"/>
  <c r="B79" i="53"/>
  <c r="B76" i="53"/>
  <c r="B75" i="53"/>
  <c r="B74" i="53"/>
  <c r="B73" i="53"/>
  <c r="B70" i="53"/>
  <c r="B68" i="53"/>
  <c r="B66" i="53" s="1"/>
  <c r="B82" i="53" s="1"/>
  <c r="B59" i="53"/>
  <c r="B46" i="53" s="1"/>
  <c r="D57" i="53"/>
  <c r="D56" i="53"/>
  <c r="B33" i="53"/>
  <c r="B32" i="53" s="1"/>
  <c r="G32" i="53"/>
  <c r="F32" i="53"/>
  <c r="B27" i="53"/>
  <c r="B25" i="53"/>
  <c r="B24" i="53"/>
  <c r="B16" i="53"/>
  <c r="B15" i="53"/>
  <c r="B78" i="53" s="1"/>
  <c r="B77" i="53" s="1"/>
  <c r="B81" i="52"/>
  <c r="B79" i="52"/>
  <c r="B76" i="52"/>
  <c r="B75" i="52" s="1"/>
  <c r="B74" i="52"/>
  <c r="B73" i="52"/>
  <c r="B70" i="52"/>
  <c r="B68" i="52"/>
  <c r="B59" i="52"/>
  <c r="D57" i="52"/>
  <c r="D56" i="52"/>
  <c r="B46" i="52"/>
  <c r="B33" i="52"/>
  <c r="B32" i="52"/>
  <c r="G32" i="52"/>
  <c r="F32" i="52"/>
  <c r="B27" i="52"/>
  <c r="B25" i="52"/>
  <c r="B24" i="52"/>
  <c r="B89" i="52" s="1"/>
  <c r="B16" i="52"/>
  <c r="B15" i="52"/>
  <c r="B81" i="51"/>
  <c r="B79" i="51"/>
  <c r="B76" i="51"/>
  <c r="B75" i="51"/>
  <c r="B74" i="51"/>
  <c r="B73" i="51"/>
  <c r="B70" i="51"/>
  <c r="B68" i="51"/>
  <c r="B59" i="51"/>
  <c r="B46" i="51" s="1"/>
  <c r="D57" i="51"/>
  <c r="B33" i="51"/>
  <c r="G32" i="51"/>
  <c r="F32" i="51"/>
  <c r="B32" i="51"/>
  <c r="B25" i="51"/>
  <c r="B24" i="51"/>
  <c r="B16" i="51"/>
  <c r="B15" i="51"/>
  <c r="B71" i="51"/>
  <c r="B81" i="49"/>
  <c r="B79" i="49"/>
  <c r="B76" i="49"/>
  <c r="B75" i="49" s="1"/>
  <c r="B73" i="49"/>
  <c r="B70" i="49"/>
  <c r="B68" i="49"/>
  <c r="B59" i="49"/>
  <c r="D57" i="49"/>
  <c r="D56" i="49"/>
  <c r="D49" i="49"/>
  <c r="B45" i="49"/>
  <c r="B42" i="49" s="1"/>
  <c r="B33" i="49"/>
  <c r="G32" i="49"/>
  <c r="F32" i="49"/>
  <c r="B32" i="49"/>
  <c r="B27" i="49"/>
  <c r="B25" i="49"/>
  <c r="B24" i="49"/>
  <c r="B16" i="49"/>
  <c r="B15" i="49"/>
  <c r="B78" i="49" s="1"/>
  <c r="B81" i="48"/>
  <c r="B79" i="48"/>
  <c r="B76" i="48"/>
  <c r="B75" i="48" s="1"/>
  <c r="B74" i="48"/>
  <c r="B73" i="48"/>
  <c r="B70" i="48"/>
  <c r="B68" i="48"/>
  <c r="E59" i="48"/>
  <c r="D57" i="48"/>
  <c r="D56" i="48"/>
  <c r="D49" i="48"/>
  <c r="B46" i="48"/>
  <c r="B42" i="48"/>
  <c r="G32" i="48"/>
  <c r="F32" i="48"/>
  <c r="B32" i="48"/>
  <c r="B25" i="48"/>
  <c r="B24" i="48"/>
  <c r="B89" i="48" s="1"/>
  <c r="B16" i="48"/>
  <c r="B15" i="48"/>
  <c r="B71" i="48" s="1"/>
  <c r="B66" i="48" s="1"/>
  <c r="B81" i="47"/>
  <c r="D80" i="47"/>
  <c r="B76" i="47"/>
  <c r="B75" i="47"/>
  <c r="B74" i="47"/>
  <c r="B73" i="47"/>
  <c r="B72" i="47"/>
  <c r="B70" i="47"/>
  <c r="B59" i="47"/>
  <c r="D58" i="47"/>
  <c r="D57" i="47"/>
  <c r="D50" i="47"/>
  <c r="B33" i="47"/>
  <c r="B32" i="47"/>
  <c r="G32" i="47"/>
  <c r="F32" i="47"/>
  <c r="B25" i="47"/>
  <c r="B24" i="47"/>
  <c r="B16" i="47"/>
  <c r="B15" i="47"/>
  <c r="B74" i="46"/>
  <c r="B72" i="46"/>
  <c r="B69" i="46"/>
  <c r="B68" i="46" s="1"/>
  <c r="B66" i="46"/>
  <c r="B65" i="46"/>
  <c r="B63" i="46"/>
  <c r="B61" i="46"/>
  <c r="B52" i="46"/>
  <c r="D50" i="46"/>
  <c r="D49" i="46"/>
  <c r="B45" i="46"/>
  <c r="B39" i="46"/>
  <c r="F66" i="46" s="1"/>
  <c r="B38" i="46"/>
  <c r="B35" i="46"/>
  <c r="B75" i="46" s="1"/>
  <c r="B34" i="46"/>
  <c r="G32" i="46"/>
  <c r="F32" i="46"/>
  <c r="B32" i="46"/>
  <c r="B27" i="46"/>
  <c r="B25" i="46"/>
  <c r="B24" i="46"/>
  <c r="B16" i="46"/>
  <c r="B15" i="46"/>
  <c r="B81" i="45"/>
  <c r="B79" i="45"/>
  <c r="B76" i="45"/>
  <c r="B75" i="45"/>
  <c r="B73" i="45"/>
  <c r="B72" i="45"/>
  <c r="B70" i="45"/>
  <c r="B66" i="45" s="1"/>
  <c r="B68" i="45"/>
  <c r="B59" i="45"/>
  <c r="B46" i="45" s="1"/>
  <c r="E58" i="45" s="1"/>
  <c r="D57" i="45"/>
  <c r="D56" i="45"/>
  <c r="G32" i="45"/>
  <c r="F32" i="45"/>
  <c r="B32" i="45"/>
  <c r="B27" i="45"/>
  <c r="B25" i="45"/>
  <c r="B24" i="45"/>
  <c r="B16" i="45"/>
  <c r="B15" i="45"/>
  <c r="B71" i="45"/>
  <c r="B81" i="44"/>
  <c r="B79" i="44"/>
  <c r="B76" i="44"/>
  <c r="B75" i="44" s="1"/>
  <c r="B73" i="44"/>
  <c r="B72" i="44"/>
  <c r="B70" i="44"/>
  <c r="B59" i="44"/>
  <c r="B46" i="44" s="1"/>
  <c r="D57" i="44"/>
  <c r="D56" i="44"/>
  <c r="E49" i="44"/>
  <c r="D49" i="44"/>
  <c r="G32" i="44"/>
  <c r="F32" i="44"/>
  <c r="B32" i="44"/>
  <c r="B27" i="44"/>
  <c r="B25" i="44"/>
  <c r="B24" i="44"/>
  <c r="B16" i="44"/>
  <c r="B15" i="44"/>
  <c r="B78" i="44"/>
  <c r="B77" i="44" s="1"/>
  <c r="B81" i="43"/>
  <c r="B79" i="43"/>
  <c r="B77" i="43" s="1"/>
  <c r="B76" i="43"/>
  <c r="B75" i="43"/>
  <c r="B74" i="43"/>
  <c r="B73" i="43"/>
  <c r="B72" i="43"/>
  <c r="B70" i="43"/>
  <c r="B66" i="43" s="1"/>
  <c r="B68" i="43"/>
  <c r="D57" i="43"/>
  <c r="D56" i="43"/>
  <c r="B46" i="43"/>
  <c r="B44" i="43"/>
  <c r="B33" i="43"/>
  <c r="G32" i="43"/>
  <c r="F32" i="43"/>
  <c r="B32" i="43"/>
  <c r="B27" i="43"/>
  <c r="B25" i="43"/>
  <c r="B24" i="43"/>
  <c r="B89" i="43" s="1"/>
  <c r="B16" i="43"/>
  <c r="B15" i="43"/>
  <c r="B79" i="42"/>
  <c r="B77" i="42"/>
  <c r="B74" i="42"/>
  <c r="B73" i="42"/>
  <c r="B71" i="42"/>
  <c r="B70" i="42"/>
  <c r="B69" i="42"/>
  <c r="B68" i="42"/>
  <c r="B66" i="42"/>
  <c r="B64" i="42" s="1"/>
  <c r="B57" i="42"/>
  <c r="B44" i="42" s="1"/>
  <c r="E54" i="42" s="1"/>
  <c r="D55" i="42"/>
  <c r="D54" i="42"/>
  <c r="B34" i="42"/>
  <c r="B32" i="42" s="1"/>
  <c r="B33" i="42"/>
  <c r="G32" i="42"/>
  <c r="F32" i="42"/>
  <c r="B27" i="42"/>
  <c r="B25" i="42"/>
  <c r="B24" i="42"/>
  <c r="B16" i="42"/>
  <c r="B15" i="42"/>
  <c r="B76" i="42"/>
  <c r="B74" i="41"/>
  <c r="B72" i="41"/>
  <c r="B69" i="41"/>
  <c r="B68" i="41" s="1"/>
  <c r="B66" i="41"/>
  <c r="B65" i="41"/>
  <c r="B59" i="41" s="1"/>
  <c r="B63" i="41"/>
  <c r="B52" i="41"/>
  <c r="D50" i="41"/>
  <c r="D49" i="41"/>
  <c r="B39" i="41"/>
  <c r="E52" i="41" s="1"/>
  <c r="B38" i="41"/>
  <c r="B35" i="41"/>
  <c r="B33" i="41"/>
  <c r="G32" i="41"/>
  <c r="F32" i="41"/>
  <c r="B32" i="41"/>
  <c r="B27" i="41"/>
  <c r="B25" i="41"/>
  <c r="B24" i="41"/>
  <c r="B16" i="41"/>
  <c r="B15" i="41"/>
  <c r="B64" i="41"/>
  <c r="B80" i="40"/>
  <c r="B78" i="40"/>
  <c r="B75" i="40"/>
  <c r="B74" i="40" s="1"/>
  <c r="B72" i="40"/>
  <c r="B71" i="40"/>
  <c r="B69" i="40"/>
  <c r="B67" i="40"/>
  <c r="B58" i="40"/>
  <c r="B45" i="40" s="1"/>
  <c r="D56" i="40"/>
  <c r="D55" i="40"/>
  <c r="B43" i="40"/>
  <c r="B34" i="40"/>
  <c r="B33" i="40"/>
  <c r="B32" i="40" s="1"/>
  <c r="B81" i="40" s="1"/>
  <c r="B82" i="40" s="1"/>
  <c r="G32" i="40"/>
  <c r="F32" i="40"/>
  <c r="B27" i="40"/>
  <c r="B25" i="40"/>
  <c r="B24" i="40"/>
  <c r="B16" i="40"/>
  <c r="B15" i="40"/>
  <c r="B70" i="40"/>
  <c r="B79" i="39"/>
  <c r="B74" i="39"/>
  <c r="B73" i="39"/>
  <c r="B72" i="39"/>
  <c r="B71" i="39"/>
  <c r="B70" i="39"/>
  <c r="B68" i="39"/>
  <c r="B66" i="39"/>
  <c r="B64" i="39" s="1"/>
  <c r="B57" i="39"/>
  <c r="D55" i="39"/>
  <c r="D54" i="39"/>
  <c r="B50" i="39"/>
  <c r="B43" i="39"/>
  <c r="B40" i="39" s="1"/>
  <c r="B42" i="39"/>
  <c r="B41" i="39"/>
  <c r="B34" i="39"/>
  <c r="B32" i="39"/>
  <c r="G31" i="39"/>
  <c r="F31" i="39"/>
  <c r="B24" i="39"/>
  <c r="B23" i="39"/>
  <c r="B87" i="39"/>
  <c r="B16" i="39"/>
  <c r="B15" i="39"/>
  <c r="B81" i="38"/>
  <c r="B79" i="38"/>
  <c r="B77" i="38" s="1"/>
  <c r="B76" i="38"/>
  <c r="B75" i="38"/>
  <c r="B74" i="38"/>
  <c r="B73" i="38"/>
  <c r="B72" i="38"/>
  <c r="B70" i="38"/>
  <c r="B68" i="38"/>
  <c r="B59" i="38"/>
  <c r="B46" i="38" s="1"/>
  <c r="E59" i="38" s="1"/>
  <c r="D57" i="38"/>
  <c r="D56" i="38"/>
  <c r="B52" i="38"/>
  <c r="B45" i="38"/>
  <c r="B44" i="38"/>
  <c r="B42" i="38" s="1"/>
  <c r="B43" i="38"/>
  <c r="B34" i="38"/>
  <c r="B32" i="38" s="1"/>
  <c r="B82" i="38" s="1"/>
  <c r="B33" i="38"/>
  <c r="G32" i="38"/>
  <c r="F32" i="38"/>
  <c r="B27" i="38"/>
  <c r="B25" i="38"/>
  <c r="B24" i="38"/>
  <c r="B16" i="38"/>
  <c r="B15" i="38"/>
  <c r="B78" i="38"/>
  <c r="B79" i="37"/>
  <c r="B77" i="37"/>
  <c r="B74" i="37"/>
  <c r="B73" i="37" s="1"/>
  <c r="B71" i="37"/>
  <c r="B68" i="37"/>
  <c r="B66" i="37"/>
  <c r="D63" i="37"/>
  <c r="B57" i="37"/>
  <c r="D55" i="37"/>
  <c r="D54" i="37"/>
  <c r="B50" i="37"/>
  <c r="B43" i="37"/>
  <c r="B40" i="37"/>
  <c r="G32" i="37"/>
  <c r="F32" i="37"/>
  <c r="B32" i="37"/>
  <c r="B25" i="37"/>
  <c r="B24" i="37"/>
  <c r="B16" i="37"/>
  <c r="B15" i="37"/>
  <c r="B81" i="36"/>
  <c r="B76" i="36"/>
  <c r="B75" i="36"/>
  <c r="B74" i="36"/>
  <c r="B73" i="36"/>
  <c r="B72" i="36"/>
  <c r="B70" i="36"/>
  <c r="B68" i="36"/>
  <c r="B59" i="36"/>
  <c r="D57" i="36"/>
  <c r="D56" i="36"/>
  <c r="B45" i="36"/>
  <c r="B44" i="36"/>
  <c r="B43" i="36"/>
  <c r="B42" i="36" s="1"/>
  <c r="B34" i="36"/>
  <c r="B32" i="36" s="1"/>
  <c r="B82" i="36" s="1"/>
  <c r="B33" i="36"/>
  <c r="G32" i="36"/>
  <c r="F32" i="36"/>
  <c r="B25" i="36"/>
  <c r="B89" i="36" s="1"/>
  <c r="B24" i="36"/>
  <c r="B16" i="36"/>
  <c r="B15" i="36"/>
  <c r="B71" i="36"/>
  <c r="B81" i="35"/>
  <c r="B76" i="35"/>
  <c r="B75" i="35"/>
  <c r="B74" i="35"/>
  <c r="B73" i="35"/>
  <c r="B72" i="35"/>
  <c r="B71" i="35"/>
  <c r="B70" i="35"/>
  <c r="B59" i="35"/>
  <c r="D57" i="35"/>
  <c r="D56" i="35"/>
  <c r="B46" i="35"/>
  <c r="B33" i="35"/>
  <c r="B32" i="35"/>
  <c r="G32" i="35"/>
  <c r="F32" i="35"/>
  <c r="B25" i="35"/>
  <c r="B24" i="35"/>
  <c r="B89" i="35" s="1"/>
  <c r="B16" i="35"/>
  <c r="B15" i="35"/>
  <c r="B81" i="34"/>
  <c r="B79" i="34"/>
  <c r="B77" i="34" s="1"/>
  <c r="B76" i="34"/>
  <c r="B75" i="34"/>
  <c r="B74" i="34"/>
  <c r="B73" i="34"/>
  <c r="B72" i="34"/>
  <c r="B70" i="34"/>
  <c r="B68" i="34"/>
  <c r="D65" i="34"/>
  <c r="B59" i="34"/>
  <c r="D57" i="34"/>
  <c r="D56" i="34"/>
  <c r="B46" i="34"/>
  <c r="B43" i="34"/>
  <c r="B34" i="34"/>
  <c r="B33" i="34"/>
  <c r="G32" i="34"/>
  <c r="F32" i="34"/>
  <c r="B25" i="34"/>
  <c r="B24" i="34"/>
  <c r="B89" i="34"/>
  <c r="B16" i="34"/>
  <c r="B15" i="34"/>
  <c r="B81" i="33"/>
  <c r="B79" i="33"/>
  <c r="B76" i="33"/>
  <c r="B75" i="33"/>
  <c r="B74" i="33"/>
  <c r="B73" i="33"/>
  <c r="B72" i="33"/>
  <c r="B70" i="33"/>
  <c r="B68" i="33"/>
  <c r="D57" i="33"/>
  <c r="D56" i="33"/>
  <c r="B52" i="33"/>
  <c r="B46" i="33"/>
  <c r="B45" i="33"/>
  <c r="B42" i="33"/>
  <c r="G32" i="33"/>
  <c r="F32" i="33"/>
  <c r="B32" i="33"/>
  <c r="B25" i="33"/>
  <c r="B24" i="33"/>
  <c r="B89" i="33" s="1"/>
  <c r="B16" i="33"/>
  <c r="B15" i="33"/>
  <c r="B78" i="32"/>
  <c r="B76" i="32"/>
  <c r="B73" i="32"/>
  <c r="B72" i="32"/>
  <c r="B71" i="32"/>
  <c r="B70" i="32"/>
  <c r="B69" i="32"/>
  <c r="B63" i="32" s="1"/>
  <c r="B67" i="32"/>
  <c r="B65" i="32"/>
  <c r="D54" i="32"/>
  <c r="D53" i="32"/>
  <c r="B43" i="32"/>
  <c r="E55" i="32"/>
  <c r="B33" i="32"/>
  <c r="B32" i="32" s="1"/>
  <c r="B79" i="32" s="1"/>
  <c r="G32" i="32"/>
  <c r="F32" i="32"/>
  <c r="B25" i="32"/>
  <c r="B24" i="32"/>
  <c r="B86" i="32"/>
  <c r="B16" i="32"/>
  <c r="B15" i="32"/>
  <c r="B81" i="31"/>
  <c r="B79" i="31"/>
  <c r="B76" i="31"/>
  <c r="B75" i="31" s="1"/>
  <c r="B74" i="31"/>
  <c r="B73" i="31"/>
  <c r="B72" i="31"/>
  <c r="B70" i="31"/>
  <c r="B68" i="31"/>
  <c r="D65" i="31"/>
  <c r="B59" i="31"/>
  <c r="B46" i="31" s="1"/>
  <c r="E59" i="31" s="1"/>
  <c r="D57" i="31"/>
  <c r="D56" i="31"/>
  <c r="G32" i="31"/>
  <c r="F32" i="31"/>
  <c r="B32" i="31"/>
  <c r="B25" i="31"/>
  <c r="B89" i="31" s="1"/>
  <c r="B24" i="31"/>
  <c r="B16" i="31"/>
  <c r="B15" i="31"/>
  <c r="B81" i="30"/>
  <c r="B79" i="30"/>
  <c r="B76" i="30"/>
  <c r="B75" i="30" s="1"/>
  <c r="B74" i="30"/>
  <c r="B73" i="30"/>
  <c r="B72" i="30"/>
  <c r="B70" i="30"/>
  <c r="B68" i="30"/>
  <c r="B59" i="30"/>
  <c r="B46" i="30" s="1"/>
  <c r="E57" i="30" s="1"/>
  <c r="D57" i="30"/>
  <c r="B43" i="30"/>
  <c r="G32" i="30"/>
  <c r="F32" i="30"/>
  <c r="B32" i="30"/>
  <c r="B25" i="30"/>
  <c r="B24" i="30"/>
  <c r="B16" i="30"/>
  <c r="B15" i="30"/>
  <c r="B45" i="30" s="1"/>
  <c r="B42" i="30" s="1"/>
  <c r="B81" i="29"/>
  <c r="B79" i="29"/>
  <c r="B76" i="29"/>
  <c r="B75" i="29" s="1"/>
  <c r="B74" i="29"/>
  <c r="B73" i="29"/>
  <c r="B70" i="29"/>
  <c r="B68" i="29"/>
  <c r="B59" i="29"/>
  <c r="D57" i="29"/>
  <c r="D56" i="29"/>
  <c r="B33" i="29"/>
  <c r="B32" i="29" s="1"/>
  <c r="G32" i="29"/>
  <c r="F32" i="29"/>
  <c r="B25" i="29"/>
  <c r="B24" i="29"/>
  <c r="B16" i="29"/>
  <c r="B15" i="29"/>
  <c r="B81" i="28"/>
  <c r="B79" i="28"/>
  <c r="B76" i="28"/>
  <c r="B75" i="28"/>
  <c r="B74" i="28"/>
  <c r="B73" i="28"/>
  <c r="B70" i="28"/>
  <c r="B68" i="28"/>
  <c r="B66" i="28" s="1"/>
  <c r="B59" i="28"/>
  <c r="B46" i="28" s="1"/>
  <c r="E59" i="28" s="1"/>
  <c r="D57" i="28"/>
  <c r="D56" i="28"/>
  <c r="B45" i="28"/>
  <c r="B42" i="28"/>
  <c r="G32" i="28"/>
  <c r="F32" i="28"/>
  <c r="B32" i="28"/>
  <c r="B25" i="28"/>
  <c r="B24" i="28"/>
  <c r="B89" i="28" s="1"/>
  <c r="B16" i="28"/>
  <c r="B15" i="28"/>
  <c r="B71" i="28"/>
  <c r="B81" i="27"/>
  <c r="B79" i="27"/>
  <c r="B76" i="27"/>
  <c r="B75" i="27" s="1"/>
  <c r="B74" i="27"/>
  <c r="B73" i="27"/>
  <c r="B72" i="27"/>
  <c r="B70" i="27"/>
  <c r="B66" i="27" s="1"/>
  <c r="B68" i="27"/>
  <c r="B59" i="27"/>
  <c r="B46" i="27"/>
  <c r="E57" i="27" s="1"/>
  <c r="D57" i="27"/>
  <c r="D56" i="27"/>
  <c r="G32" i="27"/>
  <c r="F32" i="27"/>
  <c r="B32" i="27"/>
  <c r="B25" i="27"/>
  <c r="B89" i="27" s="1"/>
  <c r="B24" i="27"/>
  <c r="B16" i="27"/>
  <c r="B15" i="27"/>
  <c r="B45" i="27" s="1"/>
  <c r="B81" i="26"/>
  <c r="B79" i="26"/>
  <c r="B76" i="26"/>
  <c r="B75" i="26"/>
  <c r="B74" i="26"/>
  <c r="B73" i="26"/>
  <c r="B72" i="26"/>
  <c r="B70" i="26"/>
  <c r="B68" i="26"/>
  <c r="B66" i="26" s="1"/>
  <c r="B82" i="26" s="1"/>
  <c r="B59" i="26"/>
  <c r="B46" i="26" s="1"/>
  <c r="D57" i="26"/>
  <c r="D56" i="26"/>
  <c r="B45" i="26"/>
  <c r="B42" i="26" s="1"/>
  <c r="G32" i="26"/>
  <c r="F32" i="26"/>
  <c r="B32" i="26"/>
  <c r="B25" i="26"/>
  <c r="B24" i="26"/>
  <c r="B16" i="26"/>
  <c r="B15" i="26"/>
  <c r="B78" i="26"/>
  <c r="B77" i="26" s="1"/>
  <c r="B81" i="25"/>
  <c r="B79" i="25"/>
  <c r="B78" i="25"/>
  <c r="B77" i="25" s="1"/>
  <c r="B76" i="25"/>
  <c r="B75" i="25"/>
  <c r="B74" i="25"/>
  <c r="B66" i="25" s="1"/>
  <c r="B73" i="25"/>
  <c r="B72" i="25"/>
  <c r="B70" i="25"/>
  <c r="B68" i="25"/>
  <c r="B59" i="25"/>
  <c r="D57" i="25"/>
  <c r="D56" i="25"/>
  <c r="B52" i="25"/>
  <c r="B45" i="25"/>
  <c r="B42" i="25" s="1"/>
  <c r="G32" i="25"/>
  <c r="F32" i="25"/>
  <c r="B32" i="25"/>
  <c r="B25" i="25"/>
  <c r="B24" i="25"/>
  <c r="B16" i="25"/>
  <c r="B15" i="25"/>
  <c r="B71" i="25" s="1"/>
  <c r="B81" i="24"/>
  <c r="B76" i="24"/>
  <c r="B75" i="24" s="1"/>
  <c r="B73" i="24"/>
  <c r="B72" i="24"/>
  <c r="B70" i="24"/>
  <c r="B68" i="24"/>
  <c r="B66" i="24" s="1"/>
  <c r="D57" i="24"/>
  <c r="D56" i="24"/>
  <c r="B52" i="24"/>
  <c r="B45" i="24"/>
  <c r="B42" i="24"/>
  <c r="G32" i="24"/>
  <c r="F32" i="24"/>
  <c r="B32" i="24"/>
  <c r="B25" i="24"/>
  <c r="B24" i="24"/>
  <c r="B16" i="24"/>
  <c r="B15" i="24"/>
  <c r="B78" i="24"/>
  <c r="B77" i="24" s="1"/>
  <c r="B81" i="23"/>
  <c r="B76" i="23"/>
  <c r="B75" i="23"/>
  <c r="B74" i="23"/>
  <c r="B73" i="23"/>
  <c r="B72" i="23"/>
  <c r="B70" i="23"/>
  <c r="B68" i="23"/>
  <c r="B59" i="23"/>
  <c r="D57" i="23"/>
  <c r="D56" i="23"/>
  <c r="B52" i="23"/>
  <c r="B46" i="23" s="1"/>
  <c r="E57" i="23" s="1"/>
  <c r="G32" i="23"/>
  <c r="F32" i="23"/>
  <c r="B32" i="23"/>
  <c r="B25" i="23"/>
  <c r="B24" i="23"/>
  <c r="B16" i="23"/>
  <c r="B15" i="23"/>
  <c r="B71" i="23" s="1"/>
  <c r="B81" i="22"/>
  <c r="B79" i="22"/>
  <c r="B76" i="22"/>
  <c r="B75" i="22"/>
  <c r="B74" i="22"/>
  <c r="B73" i="22"/>
  <c r="B72" i="22"/>
  <c r="B70" i="22"/>
  <c r="B68" i="22"/>
  <c r="B59" i="22"/>
  <c r="D57" i="22"/>
  <c r="D56" i="22"/>
  <c r="B52" i="22"/>
  <c r="B46" i="22"/>
  <c r="E58" i="22"/>
  <c r="B36" i="22"/>
  <c r="B32" i="22" s="1"/>
  <c r="G32" i="22"/>
  <c r="F32" i="22"/>
  <c r="B25" i="22"/>
  <c r="B24" i="22"/>
  <c r="B89" i="22" s="1"/>
  <c r="B16" i="22"/>
  <c r="B15" i="22"/>
  <c r="B78" i="22" s="1"/>
  <c r="B81" i="21"/>
  <c r="B79" i="21"/>
  <c r="B76" i="21"/>
  <c r="B75" i="21" s="1"/>
  <c r="B74" i="21"/>
  <c r="B73" i="21"/>
  <c r="B72" i="21"/>
  <c r="B70" i="21"/>
  <c r="B68" i="21"/>
  <c r="B59" i="21"/>
  <c r="B46" i="21" s="1"/>
  <c r="E53" i="21" s="1"/>
  <c r="D57" i="21"/>
  <c r="D56" i="21"/>
  <c r="B52" i="21"/>
  <c r="G32" i="21"/>
  <c r="F32" i="21"/>
  <c r="B32" i="21"/>
  <c r="B27" i="21"/>
  <c r="B25" i="21"/>
  <c r="B24" i="21"/>
  <c r="B89" i="21" s="1"/>
  <c r="B16" i="21"/>
  <c r="B15" i="21"/>
  <c r="B78" i="20"/>
  <c r="B76" i="20" s="1"/>
  <c r="B74" i="20"/>
  <c r="B73" i="20"/>
  <c r="B72" i="20"/>
  <c r="B66" i="20" s="1"/>
  <c r="B81" i="20" s="1"/>
  <c r="B71" i="20"/>
  <c r="B68" i="20"/>
  <c r="D57" i="20"/>
  <c r="D56" i="20"/>
  <c r="B42" i="20"/>
  <c r="G32" i="20"/>
  <c r="F32" i="20"/>
  <c r="B32" i="20"/>
  <c r="B25" i="20"/>
  <c r="B24" i="20"/>
  <c r="B88" i="20" s="1"/>
  <c r="B17" i="20"/>
  <c r="B16" i="20"/>
  <c r="B15" i="20"/>
  <c r="B81" i="19"/>
  <c r="B79" i="19"/>
  <c r="B76" i="19"/>
  <c r="B75" i="19"/>
  <c r="B74" i="19"/>
  <c r="B73" i="19"/>
  <c r="B72" i="19"/>
  <c r="B68" i="19"/>
  <c r="D57" i="19"/>
  <c r="D56" i="19"/>
  <c r="B46" i="19"/>
  <c r="B42" i="19"/>
  <c r="G32" i="19"/>
  <c r="F32" i="19"/>
  <c r="B32" i="19"/>
  <c r="B27" i="19"/>
  <c r="B25" i="19"/>
  <c r="B89" i="19" s="1"/>
  <c r="B24" i="19"/>
  <c r="B16" i="19"/>
  <c r="B15" i="19"/>
  <c r="B68" i="18"/>
  <c r="B66" i="18"/>
  <c r="B65" i="18"/>
  <c r="B63" i="18"/>
  <c r="B62" i="18"/>
  <c r="B61" i="18"/>
  <c r="B55" i="18" s="1"/>
  <c r="B60" i="18"/>
  <c r="B59" i="18"/>
  <c r="B58" i="18"/>
  <c r="B56" i="18"/>
  <c r="D49" i="18"/>
  <c r="B46" i="18"/>
  <c r="B42" i="18"/>
  <c r="G32" i="18"/>
  <c r="F32" i="18"/>
  <c r="B32" i="18"/>
  <c r="B24" i="18"/>
  <c r="B16" i="18"/>
  <c r="B15" i="18"/>
  <c r="B66" i="17"/>
  <c r="B64" i="17"/>
  <c r="B63" i="17"/>
  <c r="B62" i="17"/>
  <c r="B55" i="17"/>
  <c r="B53" i="17"/>
  <c r="B46" i="17"/>
  <c r="B45" i="17"/>
  <c r="B42" i="17" s="1"/>
  <c r="E44" i="17"/>
  <c r="E43" i="17"/>
  <c r="E35" i="17"/>
  <c r="E34" i="17"/>
  <c r="G32" i="17"/>
  <c r="F32" i="17"/>
  <c r="B32" i="17"/>
  <c r="B25" i="17"/>
  <c r="B24" i="17"/>
  <c r="B16" i="17"/>
  <c r="B15" i="17"/>
  <c r="B81" i="16"/>
  <c r="B79" i="16"/>
  <c r="B78" i="16"/>
  <c r="B77" i="16" s="1"/>
  <c r="B76" i="16"/>
  <c r="B75" i="16" s="1"/>
  <c r="B68" i="16"/>
  <c r="B66" i="16" s="1"/>
  <c r="D57" i="16"/>
  <c r="D56" i="16"/>
  <c r="D49" i="16"/>
  <c r="B46" i="16"/>
  <c r="B45" i="16"/>
  <c r="B42" i="16"/>
  <c r="G32" i="16"/>
  <c r="F32" i="16"/>
  <c r="B32" i="16"/>
  <c r="B25" i="16"/>
  <c r="B24" i="16"/>
  <c r="B16" i="16"/>
  <c r="B15" i="16"/>
  <c r="B69" i="15"/>
  <c r="B67" i="15"/>
  <c r="B66" i="15"/>
  <c r="B64" i="15"/>
  <c r="B63" i="15" s="1"/>
  <c r="B62" i="15"/>
  <c r="B61" i="15"/>
  <c r="B60" i="15"/>
  <c r="B59" i="15"/>
  <c r="B58" i="15"/>
  <c r="B54" i="15" s="1"/>
  <c r="B56" i="15"/>
  <c r="B46" i="15"/>
  <c r="B45" i="15"/>
  <c r="B42" i="15"/>
  <c r="G32" i="15"/>
  <c r="F32" i="15"/>
  <c r="B32" i="15"/>
  <c r="B25" i="15"/>
  <c r="B77" i="15" s="1"/>
  <c r="B24" i="15"/>
  <c r="B17" i="15"/>
  <c r="B16" i="15"/>
  <c r="B15" i="15"/>
  <c r="B71" i="14"/>
  <c r="B70" i="14"/>
  <c r="B69" i="14"/>
  <c r="B68" i="14"/>
  <c r="B67" i="14" s="1"/>
  <c r="B66" i="14"/>
  <c r="B65" i="14"/>
  <c r="B64" i="14"/>
  <c r="B60" i="14"/>
  <c r="B46" i="14"/>
  <c r="B45" i="14"/>
  <c r="B42" i="14" s="1"/>
  <c r="B33" i="14"/>
  <c r="B32" i="14"/>
  <c r="G32" i="14"/>
  <c r="F32" i="14"/>
  <c r="B27" i="14"/>
  <c r="B25" i="14"/>
  <c r="B24" i="14"/>
  <c r="B81" i="14" s="1"/>
  <c r="B16" i="14"/>
  <c r="B15" i="14"/>
  <c r="B81" i="13"/>
  <c r="B79" i="13"/>
  <c r="B76" i="13"/>
  <c r="B75" i="13"/>
  <c r="B74" i="13"/>
  <c r="B73" i="13"/>
  <c r="B72" i="13"/>
  <c r="B70" i="13"/>
  <c r="B68" i="13"/>
  <c r="B59" i="13"/>
  <c r="D57" i="13"/>
  <c r="D56" i="13"/>
  <c r="B52" i="13"/>
  <c r="B46" i="13" s="1"/>
  <c r="B34" i="13"/>
  <c r="G32" i="13"/>
  <c r="F32" i="13"/>
  <c r="B32" i="13"/>
  <c r="B27" i="13"/>
  <c r="B25" i="13"/>
  <c r="B89" i="13" s="1"/>
  <c r="B24" i="13"/>
  <c r="B17" i="13"/>
  <c r="B16" i="13"/>
  <c r="B15" i="13"/>
  <c r="B79" i="12"/>
  <c r="B77" i="12"/>
  <c r="B76" i="12"/>
  <c r="B74" i="12"/>
  <c r="B73" i="12" s="1"/>
  <c r="B72" i="12"/>
  <c r="B71" i="12"/>
  <c r="B70" i="12"/>
  <c r="B69" i="12"/>
  <c r="B68" i="12"/>
  <c r="B66" i="12"/>
  <c r="B64" i="12" s="1"/>
  <c r="D56" i="12"/>
  <c r="D55" i="12"/>
  <c r="B46" i="12"/>
  <c r="B45" i="12"/>
  <c r="B42" i="12" s="1"/>
  <c r="B80" i="12" s="1"/>
  <c r="B44" i="12"/>
  <c r="B43" i="12"/>
  <c r="B33" i="12"/>
  <c r="B32" i="12" s="1"/>
  <c r="G32" i="12"/>
  <c r="F32" i="12"/>
  <c r="B27" i="12"/>
  <c r="B25" i="12"/>
  <c r="B87" i="12" s="1"/>
  <c r="B24" i="12"/>
  <c r="B16" i="12"/>
  <c r="B15" i="12"/>
  <c r="B80" i="11"/>
  <c r="B78" i="11"/>
  <c r="B77" i="11"/>
  <c r="B76" i="11"/>
  <c r="B75" i="11"/>
  <c r="B74" i="11" s="1"/>
  <c r="B73" i="11"/>
  <c r="B72" i="11"/>
  <c r="B71" i="11"/>
  <c r="B70" i="11"/>
  <c r="B69" i="11"/>
  <c r="B67" i="11"/>
  <c r="D57" i="11"/>
  <c r="D56" i="11"/>
  <c r="B46" i="11"/>
  <c r="B45" i="11"/>
  <c r="B42" i="11" s="1"/>
  <c r="B35" i="11"/>
  <c r="B32" i="11" s="1"/>
  <c r="G32" i="11"/>
  <c r="F32" i="11"/>
  <c r="B27" i="11"/>
  <c r="B25" i="11"/>
  <c r="B88" i="11" s="1"/>
  <c r="B24" i="11"/>
  <c r="B16" i="11"/>
  <c r="B15" i="11"/>
  <c r="B81" i="10"/>
  <c r="B76" i="10"/>
  <c r="B75" i="10"/>
  <c r="B74" i="10"/>
  <c r="B73" i="10"/>
  <c r="B72" i="10"/>
  <c r="B70" i="10"/>
  <c r="B68" i="10"/>
  <c r="D57" i="10"/>
  <c r="D56" i="10"/>
  <c r="B44" i="10"/>
  <c r="B43" i="10"/>
  <c r="B33" i="10"/>
  <c r="B32" i="10" s="1"/>
  <c r="G32" i="10"/>
  <c r="F32" i="10"/>
  <c r="B25" i="10"/>
  <c r="B24" i="10"/>
  <c r="B16" i="10"/>
  <c r="B15" i="10"/>
  <c r="B81" i="9"/>
  <c r="B79" i="9"/>
  <c r="B75" i="9"/>
  <c r="B73" i="9"/>
  <c r="B72" i="9"/>
  <c r="B70" i="9"/>
  <c r="B68" i="9"/>
  <c r="B66" i="9" s="1"/>
  <c r="D57" i="9"/>
  <c r="D56" i="9"/>
  <c r="B46" i="9"/>
  <c r="B33" i="9"/>
  <c r="G32" i="9"/>
  <c r="F32" i="9"/>
  <c r="B32" i="9"/>
  <c r="B82" i="9" s="1"/>
  <c r="B27" i="9"/>
  <c r="B25" i="9"/>
  <c r="B89" i="9" s="1"/>
  <c r="B24" i="9"/>
  <c r="B17" i="9"/>
  <c r="B16" i="9"/>
  <c r="B15" i="9"/>
  <c r="B45" i="9"/>
  <c r="B42" i="9" s="1"/>
  <c r="B81" i="8"/>
  <c r="B79" i="8"/>
  <c r="B76" i="8"/>
  <c r="B75" i="8"/>
  <c r="B74" i="8"/>
  <c r="B73" i="8"/>
  <c r="B72" i="8"/>
  <c r="B70" i="8"/>
  <c r="B66" i="8" s="1"/>
  <c r="B68" i="8"/>
  <c r="D65" i="8"/>
  <c r="D57" i="8"/>
  <c r="D56" i="8"/>
  <c r="B52" i="8"/>
  <c r="B44" i="8"/>
  <c r="B33" i="8"/>
  <c r="B32" i="8" s="1"/>
  <c r="G32" i="8"/>
  <c r="F32" i="8"/>
  <c r="B27" i="8"/>
  <c r="B25" i="8"/>
  <c r="B24" i="8"/>
  <c r="B16" i="8"/>
  <c r="B15" i="8"/>
  <c r="B45" i="8" s="1"/>
  <c r="B71" i="8"/>
  <c r="B80" i="7"/>
  <c r="B78" i="7"/>
  <c r="B75" i="7"/>
  <c r="B74" i="7"/>
  <c r="B73" i="7"/>
  <c r="B72" i="7"/>
  <c r="B71" i="7"/>
  <c r="B69" i="7"/>
  <c r="B67" i="7"/>
  <c r="D64" i="7"/>
  <c r="B58" i="7"/>
  <c r="D56" i="7"/>
  <c r="D55" i="7"/>
  <c r="B51" i="7"/>
  <c r="B45" i="7" s="1"/>
  <c r="B37" i="7"/>
  <c r="B32" i="7"/>
  <c r="G32" i="7"/>
  <c r="F32" i="7"/>
  <c r="B25" i="7"/>
  <c r="B24" i="7"/>
  <c r="B16" i="7"/>
  <c r="B15" i="7"/>
  <c r="B44" i="7" s="1"/>
  <c r="B77" i="7"/>
  <c r="B81" i="6"/>
  <c r="B79" i="6"/>
  <c r="B76" i="6"/>
  <c r="B75" i="6" s="1"/>
  <c r="B74" i="6"/>
  <c r="B73" i="6"/>
  <c r="B66" i="6" s="1"/>
  <c r="B72" i="6"/>
  <c r="B68" i="6"/>
  <c r="D65" i="6"/>
  <c r="B59" i="6"/>
  <c r="D57" i="6"/>
  <c r="D56" i="6"/>
  <c r="B52" i="6"/>
  <c r="G32" i="6"/>
  <c r="F32" i="6"/>
  <c r="B32" i="6"/>
  <c r="B25" i="6"/>
  <c r="B24" i="6"/>
  <c r="B16" i="6"/>
  <c r="B15" i="6"/>
  <c r="B71" i="6" s="1"/>
  <c r="B78" i="6"/>
  <c r="B77" i="6"/>
  <c r="B78" i="5"/>
  <c r="B76" i="5"/>
  <c r="B74" i="5"/>
  <c r="B73" i="5"/>
  <c r="B72" i="5"/>
  <c r="B71" i="5"/>
  <c r="B67" i="5"/>
  <c r="D57" i="5"/>
  <c r="D56" i="5"/>
  <c r="B46" i="5"/>
  <c r="B42" i="5"/>
  <c r="G32" i="5"/>
  <c r="F32" i="5"/>
  <c r="B32" i="5"/>
  <c r="B27" i="5"/>
  <c r="B25" i="5"/>
  <c r="B88" i="5" s="1"/>
  <c r="B24" i="5"/>
  <c r="B16" i="5"/>
  <c r="B15" i="5"/>
  <c r="B78" i="4"/>
  <c r="B75" i="4"/>
  <c r="B74" i="4" s="1"/>
  <c r="B73" i="4"/>
  <c r="B72" i="4"/>
  <c r="B71" i="4"/>
  <c r="B67" i="4"/>
  <c r="D56" i="4"/>
  <c r="D55" i="4"/>
  <c r="B45" i="4"/>
  <c r="B41" i="4"/>
  <c r="B36" i="4"/>
  <c r="B32" i="4"/>
  <c r="G32" i="4"/>
  <c r="F32" i="4"/>
  <c r="B27" i="4"/>
  <c r="B25" i="4"/>
  <c r="B24" i="4"/>
  <c r="B16" i="4"/>
  <c r="B15" i="4"/>
  <c r="B77" i="3"/>
  <c r="B76" i="3"/>
  <c r="B75" i="3" s="1"/>
  <c r="B74" i="3"/>
  <c r="B73" i="3"/>
  <c r="B72" i="3"/>
  <c r="B68" i="3"/>
  <c r="B66" i="3" s="1"/>
  <c r="D57" i="3"/>
  <c r="D56" i="3"/>
  <c r="B46" i="3"/>
  <c r="B42" i="3"/>
  <c r="G32" i="3"/>
  <c r="F32" i="3"/>
  <c r="B32" i="3"/>
  <c r="B27" i="3"/>
  <c r="B25" i="3"/>
  <c r="B24" i="3"/>
  <c r="B16" i="3"/>
  <c r="B15" i="3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1" i="1"/>
  <c r="B77" i="22"/>
  <c r="B66" i="36"/>
  <c r="B89" i="57"/>
  <c r="B46" i="67"/>
  <c r="B46" i="70"/>
  <c r="B46" i="74"/>
  <c r="B89" i="75"/>
  <c r="B89" i="79"/>
  <c r="B46" i="29"/>
  <c r="E59" i="29"/>
  <c r="B44" i="37"/>
  <c r="E55" i="37" s="1"/>
  <c r="E60" i="40"/>
  <c r="B75" i="42"/>
  <c r="B89" i="30"/>
  <c r="B89" i="68"/>
  <c r="B89" i="70"/>
  <c r="B71" i="22"/>
  <c r="B78" i="30"/>
  <c r="B77" i="30"/>
  <c r="B68" i="32"/>
  <c r="B75" i="32"/>
  <c r="B74" i="32" s="1"/>
  <c r="B78" i="21"/>
  <c r="B77" i="21"/>
  <c r="B71" i="34"/>
  <c r="B78" i="34"/>
  <c r="B76" i="4"/>
  <c r="B46" i="6"/>
  <c r="B88" i="7"/>
  <c r="B46" i="8"/>
  <c r="B77" i="9"/>
  <c r="B46" i="10"/>
  <c r="B65" i="11"/>
  <c r="B75" i="12"/>
  <c r="B66" i="19"/>
  <c r="B46" i="20"/>
  <c r="B82" i="20"/>
  <c r="B46" i="24"/>
  <c r="E59" i="24"/>
  <c r="B89" i="25"/>
  <c r="B46" i="25"/>
  <c r="E56" i="26"/>
  <c r="B71" i="26"/>
  <c r="B89" i="29"/>
  <c r="B32" i="34"/>
  <c r="B78" i="36"/>
  <c r="B77" i="36" s="1"/>
  <c r="B88" i="40"/>
  <c r="E61" i="44"/>
  <c r="B72" i="51"/>
  <c r="B66" i="51"/>
  <c r="B78" i="51"/>
  <c r="B77" i="51"/>
  <c r="B72" i="63"/>
  <c r="B66" i="63"/>
  <c r="B78" i="63"/>
  <c r="B77" i="63" s="1"/>
  <c r="B78" i="67"/>
  <c r="B77" i="67"/>
  <c r="B71" i="67"/>
  <c r="B45" i="67"/>
  <c r="B42" i="67" s="1"/>
  <c r="B72" i="71"/>
  <c r="B45" i="71"/>
  <c r="B42" i="71"/>
  <c r="B46" i="36"/>
  <c r="E58" i="36" s="1"/>
  <c r="B89" i="38"/>
  <c r="B71" i="38"/>
  <c r="B66" i="38"/>
  <c r="B31" i="39"/>
  <c r="B80" i="39" s="1"/>
  <c r="B44" i="39"/>
  <c r="E55" i="39"/>
  <c r="B82" i="46"/>
  <c r="B46" i="47"/>
  <c r="E66" i="47"/>
  <c r="B77" i="49"/>
  <c r="B46" i="49"/>
  <c r="B89" i="53"/>
  <c r="B46" i="55"/>
  <c r="B72" i="55"/>
  <c r="B77" i="55"/>
  <c r="B89" i="56"/>
  <c r="B77" i="61"/>
  <c r="B46" i="61"/>
  <c r="B46" i="65"/>
  <c r="B77" i="66"/>
  <c r="B46" i="66"/>
  <c r="B72" i="68"/>
  <c r="B66" i="68" s="1"/>
  <c r="B78" i="68"/>
  <c r="B89" i="74"/>
  <c r="B89" i="78"/>
  <c r="B46" i="78"/>
  <c r="F54" i="78"/>
  <c r="B89" i="51"/>
  <c r="B71" i="52"/>
  <c r="B45" i="52"/>
  <c r="B42" i="52"/>
  <c r="B78" i="52"/>
  <c r="B72" i="52"/>
  <c r="B89" i="55"/>
  <c r="B72" i="56"/>
  <c r="B78" i="56"/>
  <c r="B77" i="56"/>
  <c r="B72" i="58"/>
  <c r="B78" i="58"/>
  <c r="B45" i="51"/>
  <c r="B42" i="51"/>
  <c r="B45" i="53"/>
  <c r="B42" i="53"/>
  <c r="B71" i="53"/>
  <c r="B45" i="54"/>
  <c r="B42" i="54"/>
  <c r="B45" i="56"/>
  <c r="B42" i="56"/>
  <c r="B71" i="57"/>
  <c r="B71" i="58"/>
  <c r="B71" i="59"/>
  <c r="B45" i="60"/>
  <c r="B42" i="60" s="1"/>
  <c r="B71" i="60"/>
  <c r="B66" i="60" s="1"/>
  <c r="B71" i="61"/>
  <c r="B72" i="62"/>
  <c r="B45" i="63"/>
  <c r="B42" i="63" s="1"/>
  <c r="B82" i="63" s="1"/>
  <c r="B71" i="69"/>
  <c r="B45" i="69"/>
  <c r="B42" i="69" s="1"/>
  <c r="B78" i="69"/>
  <c r="B77" i="69"/>
  <c r="B72" i="53"/>
  <c r="B45" i="57"/>
  <c r="B42" i="57" s="1"/>
  <c r="B72" i="57"/>
  <c r="B45" i="59"/>
  <c r="B42" i="59"/>
  <c r="B72" i="59"/>
  <c r="B72" i="60"/>
  <c r="B45" i="61"/>
  <c r="B42" i="61" s="1"/>
  <c r="B72" i="61"/>
  <c r="B66" i="61" s="1"/>
  <c r="B71" i="64"/>
  <c r="B45" i="64"/>
  <c r="B42" i="64" s="1"/>
  <c r="B72" i="64"/>
  <c r="B66" i="64" s="1"/>
  <c r="B82" i="64" s="1"/>
  <c r="B78" i="64"/>
  <c r="B77" i="64" s="1"/>
  <c r="B78" i="65"/>
  <c r="B77" i="65" s="1"/>
  <c r="B72" i="65"/>
  <c r="B89" i="65"/>
  <c r="B45" i="65"/>
  <c r="B42" i="65"/>
  <c r="B71" i="65"/>
  <c r="B66" i="65" s="1"/>
  <c r="B45" i="70"/>
  <c r="B42" i="70" s="1"/>
  <c r="B71" i="70"/>
  <c r="G51" i="79"/>
  <c r="B72" i="66"/>
  <c r="B72" i="67"/>
  <c r="B72" i="70"/>
  <c r="B89" i="71"/>
  <c r="B71" i="72"/>
  <c r="B45" i="72"/>
  <c r="B42" i="72"/>
  <c r="B78" i="72"/>
  <c r="B72" i="72"/>
  <c r="B71" i="73"/>
  <c r="B78" i="74"/>
  <c r="B77" i="74"/>
  <c r="B71" i="75"/>
  <c r="B66" i="75" s="1"/>
  <c r="B78" i="77"/>
  <c r="B45" i="78"/>
  <c r="B42" i="78" s="1"/>
  <c r="B72" i="78"/>
  <c r="B77" i="78"/>
  <c r="B45" i="79"/>
  <c r="B42" i="79" s="1"/>
  <c r="B72" i="79"/>
  <c r="B66" i="79" s="1"/>
  <c r="B78" i="79"/>
  <c r="B77" i="79"/>
  <c r="B45" i="73"/>
  <c r="B42" i="73" s="1"/>
  <c r="B72" i="73"/>
  <c r="B45" i="74"/>
  <c r="B42" i="74"/>
  <c r="B45" i="75"/>
  <c r="B42" i="75"/>
  <c r="B82" i="75" s="1"/>
  <c r="B72" i="75"/>
  <c r="B45" i="77"/>
  <c r="B42" i="77" s="1"/>
  <c r="B89" i="49"/>
  <c r="B72" i="48"/>
  <c r="B72" i="49"/>
  <c r="B74" i="49"/>
  <c r="B71" i="31"/>
  <c r="B66" i="31"/>
  <c r="B45" i="31"/>
  <c r="B42" i="31"/>
  <c r="E58" i="34"/>
  <c r="B45" i="22"/>
  <c r="B42" i="22"/>
  <c r="B71" i="24"/>
  <c r="E61" i="25"/>
  <c r="B78" i="27"/>
  <c r="B42" i="27"/>
  <c r="B71" i="27"/>
  <c r="B72" i="28"/>
  <c r="B78" i="28"/>
  <c r="B77" i="28"/>
  <c r="B78" i="29"/>
  <c r="B77" i="29" s="1"/>
  <c r="B71" i="29"/>
  <c r="B71" i="30"/>
  <c r="B78" i="31"/>
  <c r="E60" i="33"/>
  <c r="E61" i="35"/>
  <c r="B76" i="37"/>
  <c r="B72" i="37"/>
  <c r="B70" i="37"/>
  <c r="B69" i="37"/>
  <c r="B64" i="37"/>
  <c r="B69" i="39"/>
  <c r="B76" i="39"/>
  <c r="B75" i="39"/>
  <c r="B82" i="41"/>
  <c r="B67" i="41"/>
  <c r="B71" i="41"/>
  <c r="B70" i="41" s="1"/>
  <c r="B87" i="42"/>
  <c r="B71" i="43"/>
  <c r="B78" i="43"/>
  <c r="B45" i="43"/>
  <c r="B78" i="45"/>
  <c r="B77" i="45"/>
  <c r="B74" i="45"/>
  <c r="B45" i="45"/>
  <c r="B42" i="45" s="1"/>
  <c r="B71" i="46"/>
  <c r="B70" i="46"/>
  <c r="B67" i="46"/>
  <c r="B64" i="46"/>
  <c r="B42" i="32"/>
  <c r="B39" i="32"/>
  <c r="B45" i="34"/>
  <c r="B42" i="34"/>
  <c r="B77" i="40"/>
  <c r="B76" i="40"/>
  <c r="B73" i="40"/>
  <c r="B65" i="40"/>
  <c r="B44" i="40"/>
  <c r="B41" i="40" s="1"/>
  <c r="E60" i="43"/>
  <c r="B89" i="47"/>
  <c r="B43" i="42"/>
  <c r="B40" i="42"/>
  <c r="B72" i="42"/>
  <c r="B69" i="17"/>
  <c r="B89" i="16"/>
  <c r="B76" i="17"/>
  <c r="B45" i="6"/>
  <c r="B42" i="6"/>
  <c r="B70" i="7"/>
  <c r="B65" i="7"/>
  <c r="B41" i="7"/>
  <c r="B45" i="10"/>
  <c r="B42" i="10"/>
  <c r="B82" i="3"/>
  <c r="B88" i="4"/>
  <c r="B66" i="52"/>
  <c r="B59" i="46"/>
  <c r="B66" i="73"/>
  <c r="B66" i="71"/>
  <c r="B66" i="58"/>
  <c r="B66" i="59"/>
  <c r="B83" i="40"/>
  <c r="B84" i="57"/>
  <c r="B85" i="57"/>
  <c r="B86" i="57"/>
  <c r="B87" i="57"/>
  <c r="B83" i="63" l="1"/>
  <c r="B84" i="63" s="1"/>
  <c r="B83" i="53"/>
  <c r="B84" i="53" s="1"/>
  <c r="B82" i="39"/>
  <c r="B81" i="39"/>
  <c r="B76" i="46"/>
  <c r="B77" i="46" s="1"/>
  <c r="B81" i="12"/>
  <c r="B82" i="12"/>
  <c r="B82" i="59"/>
  <c r="B83" i="64"/>
  <c r="B84" i="64"/>
  <c r="B83" i="69"/>
  <c r="B84" i="69" s="1"/>
  <c r="B83" i="38"/>
  <c r="B84" i="38"/>
  <c r="B80" i="32"/>
  <c r="B81" i="32" s="1"/>
  <c r="B83" i="26"/>
  <c r="B84" i="26" s="1"/>
  <c r="B83" i="66"/>
  <c r="B84" i="66"/>
  <c r="B69" i="18"/>
  <c r="B82" i="78"/>
  <c r="B82" i="77"/>
  <c r="B82" i="45"/>
  <c r="B82" i="72"/>
  <c r="B83" i="36"/>
  <c r="B84" i="36" s="1"/>
  <c r="B70" i="17"/>
  <c r="B71" i="17"/>
  <c r="B84" i="40"/>
  <c r="B85" i="40"/>
  <c r="B87" i="40" s="1"/>
  <c r="B71" i="80"/>
  <c r="B66" i="80" s="1"/>
  <c r="B78" i="80"/>
  <c r="B77" i="80" s="1"/>
  <c r="B71" i="47"/>
  <c r="B66" i="47" s="1"/>
  <c r="B78" i="47"/>
  <c r="B77" i="47" s="1"/>
  <c r="B82" i="68"/>
  <c r="E32" i="57"/>
  <c r="B88" i="57"/>
  <c r="B82" i="73"/>
  <c r="B78" i="8"/>
  <c r="B77" i="8" s="1"/>
  <c r="B75" i="41"/>
  <c r="B66" i="78"/>
  <c r="B80" i="37"/>
  <c r="B78" i="23"/>
  <c r="B77" i="23" s="1"/>
  <c r="B82" i="23" s="1"/>
  <c r="B89" i="26"/>
  <c r="B89" i="3"/>
  <c r="B83" i="9"/>
  <c r="B84" i="9" s="1"/>
  <c r="B61" i="85"/>
  <c r="B62" i="85"/>
  <c r="B84" i="3"/>
  <c r="B82" i="65"/>
  <c r="B71" i="44"/>
  <c r="B74" i="44"/>
  <c r="B45" i="44"/>
  <c r="B42" i="44" s="1"/>
  <c r="B82" i="55"/>
  <c r="B66" i="23"/>
  <c r="B42" i="8"/>
  <c r="B83" i="20"/>
  <c r="B83" i="3"/>
  <c r="B82" i="28"/>
  <c r="B75" i="37"/>
  <c r="B89" i="10"/>
  <c r="B65" i="15"/>
  <c r="B70" i="15" s="1"/>
  <c r="B77" i="19"/>
  <c r="B77" i="27"/>
  <c r="B82" i="27" s="1"/>
  <c r="B82" i="61"/>
  <c r="B77" i="52"/>
  <c r="B82" i="52" s="1"/>
  <c r="B82" i="51"/>
  <c r="B82" i="58"/>
  <c r="B81" i="11"/>
  <c r="B45" i="80"/>
  <c r="B42" i="80" s="1"/>
  <c r="B89" i="63"/>
  <c r="B82" i="67"/>
  <c r="B89" i="23"/>
  <c r="B83" i="75"/>
  <c r="B84" i="75" s="1"/>
  <c r="B78" i="13"/>
  <c r="B77" i="13" s="1"/>
  <c r="B71" i="13"/>
  <c r="B45" i="13"/>
  <c r="B42" i="13" s="1"/>
  <c r="B89" i="58"/>
  <c r="B45" i="47"/>
  <c r="B42" i="47" s="1"/>
  <c r="B89" i="72"/>
  <c r="B66" i="77"/>
  <c r="B82" i="48"/>
  <c r="B78" i="33"/>
  <c r="B77" i="33" s="1"/>
  <c r="B71" i="33"/>
  <c r="B66" i="33" s="1"/>
  <c r="B82" i="33" s="1"/>
  <c r="B82" i="34"/>
  <c r="B82" i="60"/>
  <c r="B89" i="62"/>
  <c r="B89" i="8"/>
  <c r="B82" i="13"/>
  <c r="B82" i="25"/>
  <c r="B78" i="10"/>
  <c r="B77" i="10" s="1"/>
  <c r="B71" i="10"/>
  <c r="B66" i="10" s="1"/>
  <c r="B82" i="10" s="1"/>
  <c r="B66" i="13"/>
  <c r="B80" i="42"/>
  <c r="B77" i="31"/>
  <c r="B82" i="31" s="1"/>
  <c r="B45" i="23"/>
  <c r="B42" i="23" s="1"/>
  <c r="B65" i="5"/>
  <c r="B81" i="5" s="1"/>
  <c r="B71" i="21"/>
  <c r="B66" i="21" s="1"/>
  <c r="B45" i="21"/>
  <c r="B42" i="21" s="1"/>
  <c r="B82" i="21" s="1"/>
  <c r="B58" i="14"/>
  <c r="B74" i="14" s="1"/>
  <c r="B82" i="19"/>
  <c r="B66" i="30"/>
  <c r="B82" i="30" s="1"/>
  <c r="B78" i="35"/>
  <c r="B77" i="35" s="1"/>
  <c r="B45" i="35"/>
  <c r="B42" i="35" s="1"/>
  <c r="B66" i="22"/>
  <c r="B82" i="22" s="1"/>
  <c r="B89" i="77"/>
  <c r="B89" i="24"/>
  <c r="B78" i="54"/>
  <c r="B77" i="54" s="1"/>
  <c r="B71" i="54"/>
  <c r="B66" i="54" s="1"/>
  <c r="B82" i="54" s="1"/>
  <c r="B72" i="54"/>
  <c r="B89" i="64"/>
  <c r="B89" i="45"/>
  <c r="B71" i="49"/>
  <c r="B66" i="49" s="1"/>
  <c r="B82" i="49" s="1"/>
  <c r="B64" i="18"/>
  <c r="B72" i="29"/>
  <c r="B66" i="29" s="1"/>
  <c r="B45" i="29"/>
  <c r="B42" i="29" s="1"/>
  <c r="B82" i="29" s="1"/>
  <c r="B82" i="70"/>
  <c r="B82" i="24"/>
  <c r="B66" i="56"/>
  <c r="B82" i="56" s="1"/>
  <c r="B82" i="16"/>
  <c r="B82" i="79"/>
  <c r="B77" i="72"/>
  <c r="B66" i="34"/>
  <c r="B76" i="7"/>
  <c r="B81" i="7" s="1"/>
  <c r="B65" i="4"/>
  <c r="B81" i="4" s="1"/>
  <c r="B82" i="6"/>
  <c r="B72" i="77"/>
  <c r="B78" i="48"/>
  <c r="B77" i="48" s="1"/>
  <c r="B71" i="74"/>
  <c r="B66" i="74" s="1"/>
  <c r="B82" i="74" s="1"/>
  <c r="B71" i="81"/>
  <c r="B66" i="81" s="1"/>
  <c r="B82" i="81" s="1"/>
  <c r="B74" i="81"/>
  <c r="B73" i="83"/>
  <c r="B89" i="44"/>
  <c r="B66" i="35"/>
  <c r="B77" i="59"/>
  <c r="B71" i="62"/>
  <c r="B66" i="62" s="1"/>
  <c r="B82" i="62" s="1"/>
  <c r="B78" i="62"/>
  <c r="B77" i="62" s="1"/>
  <c r="B89" i="80"/>
  <c r="B42" i="43"/>
  <c r="B82" i="43" s="1"/>
  <c r="B78" i="71"/>
  <c r="B77" i="71" s="1"/>
  <c r="B82" i="71" s="1"/>
  <c r="B42" i="83"/>
  <c r="E55" i="83" s="1"/>
  <c r="B83" i="81" l="1"/>
  <c r="B84" i="81" s="1"/>
  <c r="B83" i="31"/>
  <c r="B84" i="31" s="1"/>
  <c r="B71" i="15"/>
  <c r="B72" i="15" s="1"/>
  <c r="B82" i="4"/>
  <c r="B83" i="4"/>
  <c r="B83" i="74"/>
  <c r="B84" i="74"/>
  <c r="B83" i="43"/>
  <c r="B84" i="43" s="1"/>
  <c r="B85" i="75"/>
  <c r="B86" i="75"/>
  <c r="B83" i="56"/>
  <c r="B84" i="56"/>
  <c r="B85" i="26"/>
  <c r="B86" i="26"/>
  <c r="B82" i="32"/>
  <c r="B83" i="32" s="1"/>
  <c r="B85" i="69"/>
  <c r="B86" i="69" s="1"/>
  <c r="B83" i="10"/>
  <c r="B84" i="10"/>
  <c r="B85" i="36"/>
  <c r="B86" i="36"/>
  <c r="B83" i="62"/>
  <c r="B84" i="62"/>
  <c r="B83" i="30"/>
  <c r="B84" i="30" s="1"/>
  <c r="B85" i="53"/>
  <c r="B86" i="53"/>
  <c r="B83" i="52"/>
  <c r="B84" i="52"/>
  <c r="B83" i="49"/>
  <c r="B84" i="49" s="1"/>
  <c r="B83" i="27"/>
  <c r="B84" i="27"/>
  <c r="B82" i="47"/>
  <c r="B85" i="9"/>
  <c r="B86" i="9"/>
  <c r="B83" i="54"/>
  <c r="B84" i="54"/>
  <c r="B82" i="7"/>
  <c r="B83" i="7" s="1"/>
  <c r="B83" i="23"/>
  <c r="B84" i="23"/>
  <c r="B84" i="22"/>
  <c r="B83" i="22"/>
  <c r="B79" i="46"/>
  <c r="B78" i="46"/>
  <c r="B83" i="29"/>
  <c r="B84" i="29"/>
  <c r="B75" i="14"/>
  <c r="B76" i="14" s="1"/>
  <c r="B83" i="33"/>
  <c r="B84" i="33"/>
  <c r="B85" i="63"/>
  <c r="B86" i="63"/>
  <c r="B83" i="16"/>
  <c r="B84" i="16"/>
  <c r="B83" i="65"/>
  <c r="B84" i="65"/>
  <c r="B70" i="18"/>
  <c r="B71" i="18" s="1"/>
  <c r="B82" i="80"/>
  <c r="B76" i="41"/>
  <c r="B77" i="41"/>
  <c r="B83" i="12"/>
  <c r="B84" i="12" s="1"/>
  <c r="B63" i="85"/>
  <c r="B64" i="85"/>
  <c r="B72" i="17"/>
  <c r="B73" i="17"/>
  <c r="B82" i="5"/>
  <c r="B83" i="5"/>
  <c r="B83" i="58"/>
  <c r="B84" i="58" s="1"/>
  <c r="B83" i="28"/>
  <c r="B84" i="28" s="1"/>
  <c r="B83" i="72"/>
  <c r="B84" i="72"/>
  <c r="B83" i="34"/>
  <c r="B84" i="34"/>
  <c r="B66" i="44"/>
  <c r="B85" i="64"/>
  <c r="B86" i="64"/>
  <c r="B83" i="19"/>
  <c r="B84" i="19" s="1"/>
  <c r="B83" i="67"/>
  <c r="B84" i="67" s="1"/>
  <c r="B81" i="37"/>
  <c r="B82" i="37" s="1"/>
  <c r="B83" i="59"/>
  <c r="B84" i="59"/>
  <c r="B84" i="13"/>
  <c r="B83" i="13"/>
  <c r="B85" i="3"/>
  <c r="B86" i="3" s="1"/>
  <c r="B85" i="66"/>
  <c r="B86" i="66" s="1"/>
  <c r="B83" i="21"/>
  <c r="B84" i="21"/>
  <c r="B82" i="11"/>
  <c r="B83" i="11" s="1"/>
  <c r="B83" i="51"/>
  <c r="B84" i="51" s="1"/>
  <c r="B81" i="42"/>
  <c r="B82" i="42" s="1"/>
  <c r="B84" i="20"/>
  <c r="B85" i="20" s="1"/>
  <c r="B82" i="44"/>
  <c r="B83" i="48"/>
  <c r="B84" i="48"/>
  <c r="B84" i="39"/>
  <c r="B83" i="39"/>
  <c r="B83" i="73"/>
  <c r="B84" i="73"/>
  <c r="B83" i="6"/>
  <c r="B84" i="6"/>
  <c r="B83" i="79"/>
  <c r="B84" i="79"/>
  <c r="B82" i="8"/>
  <c r="B83" i="68"/>
  <c r="B84" i="68" s="1"/>
  <c r="B83" i="77"/>
  <c r="B84" i="77"/>
  <c r="B83" i="78"/>
  <c r="B84" i="78" s="1"/>
  <c r="B84" i="25"/>
  <c r="B83" i="25"/>
  <c r="B83" i="61"/>
  <c r="B84" i="61"/>
  <c r="B83" i="45"/>
  <c r="B84" i="45"/>
  <c r="B83" i="24"/>
  <c r="B84" i="24"/>
  <c r="B86" i="40"/>
  <c r="E32" i="40"/>
  <c r="B83" i="70"/>
  <c r="B84" i="70"/>
  <c r="B78" i="83"/>
  <c r="B83" i="60"/>
  <c r="B84" i="60"/>
  <c r="B85" i="38"/>
  <c r="B86" i="38"/>
  <c r="B83" i="71"/>
  <c r="B84" i="71" s="1"/>
  <c r="B82" i="35"/>
  <c r="B83" i="55"/>
  <c r="B84" i="55"/>
  <c r="B84" i="32" l="1"/>
  <c r="E32" i="32"/>
  <c r="B85" i="32"/>
  <c r="B77" i="14"/>
  <c r="B78" i="14" s="1"/>
  <c r="B86" i="67"/>
  <c r="B85" i="67"/>
  <c r="B85" i="19"/>
  <c r="B86" i="19" s="1"/>
  <c r="B85" i="43"/>
  <c r="B86" i="43" s="1"/>
  <c r="B84" i="7"/>
  <c r="B85" i="7"/>
  <c r="E32" i="69"/>
  <c r="B87" i="69"/>
  <c r="B88" i="69"/>
  <c r="B86" i="49"/>
  <c r="B85" i="49"/>
  <c r="B85" i="71"/>
  <c r="B86" i="71" s="1"/>
  <c r="B85" i="78"/>
  <c r="B86" i="78" s="1"/>
  <c r="B83" i="42"/>
  <c r="B84" i="42" s="1"/>
  <c r="B86" i="51"/>
  <c r="B85" i="51"/>
  <c r="B72" i="18"/>
  <c r="B73" i="18"/>
  <c r="B85" i="68"/>
  <c r="B86" i="68"/>
  <c r="E32" i="66"/>
  <c r="B87" i="66"/>
  <c r="B88" i="66"/>
  <c r="B85" i="28"/>
  <c r="B86" i="28"/>
  <c r="B85" i="31"/>
  <c r="B86" i="31" s="1"/>
  <c r="B84" i="37"/>
  <c r="B83" i="37"/>
  <c r="E32" i="12"/>
  <c r="B86" i="12"/>
  <c r="B85" i="12"/>
  <c r="B86" i="20"/>
  <c r="E32" i="20"/>
  <c r="B87" i="20"/>
  <c r="B85" i="30"/>
  <c r="B86" i="30" s="1"/>
  <c r="B85" i="11"/>
  <c r="B84" i="11"/>
  <c r="B73" i="15"/>
  <c r="B74" i="15" s="1"/>
  <c r="B87" i="3"/>
  <c r="E32" i="3"/>
  <c r="B88" i="3"/>
  <c r="B85" i="58"/>
  <c r="B86" i="58" s="1"/>
  <c r="B85" i="81"/>
  <c r="B86" i="81" s="1"/>
  <c r="B85" i="56"/>
  <c r="B86" i="56"/>
  <c r="B85" i="77"/>
  <c r="B86" i="77"/>
  <c r="B85" i="59"/>
  <c r="B86" i="59"/>
  <c r="B85" i="65"/>
  <c r="B86" i="65"/>
  <c r="B85" i="70"/>
  <c r="B86" i="70" s="1"/>
  <c r="B84" i="5"/>
  <c r="B85" i="5" s="1"/>
  <c r="B83" i="44"/>
  <c r="B84" i="44"/>
  <c r="B83" i="8"/>
  <c r="B84" i="8" s="1"/>
  <c r="B87" i="36"/>
  <c r="E32" i="36"/>
  <c r="B88" i="36"/>
  <c r="B85" i="24"/>
  <c r="B86" i="24"/>
  <c r="E32" i="9"/>
  <c r="B87" i="9"/>
  <c r="B88" i="9"/>
  <c r="B85" i="10"/>
  <c r="B86" i="10"/>
  <c r="B83" i="47"/>
  <c r="B84" i="47"/>
  <c r="B85" i="29"/>
  <c r="B86" i="29"/>
  <c r="B74" i="17"/>
  <c r="E32" i="17"/>
  <c r="B75" i="17"/>
  <c r="B85" i="33"/>
  <c r="B86" i="33" s="1"/>
  <c r="B66" i="85"/>
  <c r="B65" i="85"/>
  <c r="E32" i="85"/>
  <c r="B84" i="4"/>
  <c r="B85" i="4" s="1"/>
  <c r="B85" i="45"/>
  <c r="B86" i="45" s="1"/>
  <c r="B85" i="21"/>
  <c r="B86" i="21"/>
  <c r="B85" i="73"/>
  <c r="B86" i="73"/>
  <c r="B85" i="34"/>
  <c r="B86" i="34" s="1"/>
  <c r="B78" i="41"/>
  <c r="B79" i="41" s="1"/>
  <c r="B85" i="60"/>
  <c r="B86" i="60" s="1"/>
  <c r="B85" i="13"/>
  <c r="B86" i="13"/>
  <c r="B85" i="22"/>
  <c r="B86" i="22"/>
  <c r="B85" i="23"/>
  <c r="B86" i="23"/>
  <c r="B87" i="75"/>
  <c r="E32" i="75"/>
  <c r="B88" i="75"/>
  <c r="B85" i="74"/>
  <c r="B86" i="74" s="1"/>
  <c r="E32" i="64"/>
  <c r="B87" i="64"/>
  <c r="B88" i="64"/>
  <c r="B85" i="27"/>
  <c r="B86" i="27"/>
  <c r="B83" i="35"/>
  <c r="B84" i="35"/>
  <c r="B85" i="61"/>
  <c r="B86" i="61" s="1"/>
  <c r="E31" i="39"/>
  <c r="B86" i="39"/>
  <c r="B85" i="39"/>
  <c r="E32" i="26"/>
  <c r="B88" i="26"/>
  <c r="B87" i="26"/>
  <c r="E32" i="53"/>
  <c r="B87" i="53"/>
  <c r="B88" i="53"/>
  <c r="B79" i="83"/>
  <c r="B80" i="83"/>
  <c r="B85" i="16"/>
  <c r="B86" i="16"/>
  <c r="B85" i="62"/>
  <c r="B86" i="62" s="1"/>
  <c r="E32" i="63"/>
  <c r="B87" i="63"/>
  <c r="B88" i="63"/>
  <c r="B85" i="54"/>
  <c r="B86" i="54" s="1"/>
  <c r="B85" i="79"/>
  <c r="B86" i="79"/>
  <c r="B86" i="6"/>
  <c r="B85" i="6"/>
  <c r="B85" i="55"/>
  <c r="B86" i="55" s="1"/>
  <c r="E32" i="38"/>
  <c r="B87" i="38"/>
  <c r="B88" i="38"/>
  <c r="B85" i="25"/>
  <c r="B86" i="25" s="1"/>
  <c r="B85" i="48"/>
  <c r="B86" i="48" s="1"/>
  <c r="B85" i="72"/>
  <c r="B86" i="72"/>
  <c r="B83" i="80"/>
  <c r="B84" i="80" s="1"/>
  <c r="E32" i="46"/>
  <c r="B80" i="46"/>
  <c r="B81" i="46"/>
  <c r="B85" i="52"/>
  <c r="B86" i="52"/>
  <c r="E32" i="33" l="1"/>
  <c r="B88" i="33"/>
  <c r="B87" i="33"/>
  <c r="B88" i="60"/>
  <c r="E32" i="60"/>
  <c r="B87" i="60"/>
  <c r="E32" i="71"/>
  <c r="B87" i="71"/>
  <c r="B88" i="71"/>
  <c r="B85" i="80"/>
  <c r="B86" i="80"/>
  <c r="E32" i="15"/>
  <c r="B75" i="15"/>
  <c r="B76" i="15"/>
  <c r="E32" i="43"/>
  <c r="B87" i="43"/>
  <c r="B88" i="43"/>
  <c r="B80" i="14"/>
  <c r="E32" i="14"/>
  <c r="B79" i="14"/>
  <c r="B87" i="81"/>
  <c r="E32" i="81"/>
  <c r="B88" i="81"/>
  <c r="E32" i="58"/>
  <c r="B88" i="58"/>
  <c r="B87" i="58"/>
  <c r="E32" i="61"/>
  <c r="B87" i="61"/>
  <c r="B88" i="61"/>
  <c r="B87" i="62"/>
  <c r="E32" i="62"/>
  <c r="B88" i="62"/>
  <c r="B86" i="5"/>
  <c r="B87" i="5"/>
  <c r="E32" i="5"/>
  <c r="E32" i="34"/>
  <c r="B87" i="34"/>
  <c r="B88" i="34"/>
  <c r="E32" i="30"/>
  <c r="B88" i="30"/>
  <c r="B87" i="30"/>
  <c r="B88" i="45"/>
  <c r="E32" i="45"/>
  <c r="B87" i="45"/>
  <c r="E32" i="54"/>
  <c r="B88" i="54"/>
  <c r="B87" i="54"/>
  <c r="E32" i="31"/>
  <c r="B88" i="31"/>
  <c r="B87" i="31"/>
  <c r="B85" i="8"/>
  <c r="B86" i="8"/>
  <c r="B87" i="48"/>
  <c r="B88" i="48"/>
  <c r="E32" i="48"/>
  <c r="E32" i="70"/>
  <c r="B88" i="70"/>
  <c r="B87" i="70"/>
  <c r="B88" i="19"/>
  <c r="E32" i="19"/>
  <c r="B87" i="19"/>
  <c r="E32" i="4"/>
  <c r="B86" i="4"/>
  <c r="B87" i="4"/>
  <c r="E32" i="42"/>
  <c r="B85" i="42"/>
  <c r="B86" i="42"/>
  <c r="E32" i="41"/>
  <c r="B81" i="41"/>
  <c r="B80" i="41"/>
  <c r="B88" i="25"/>
  <c r="B87" i="25"/>
  <c r="E32" i="25"/>
  <c r="B87" i="74"/>
  <c r="B88" i="74"/>
  <c r="E32" i="74"/>
  <c r="B87" i="55"/>
  <c r="E32" i="55" s="1"/>
  <c r="B88" i="55"/>
  <c r="E32" i="78"/>
  <c r="B87" i="78"/>
  <c r="B88" i="78"/>
  <c r="B88" i="77"/>
  <c r="E32" i="77"/>
  <c r="B87" i="77"/>
  <c r="B81" i="83"/>
  <c r="B82" i="83" s="1"/>
  <c r="B87" i="56"/>
  <c r="E32" i="56"/>
  <c r="B88" i="56"/>
  <c r="E32" i="18"/>
  <c r="B74" i="18"/>
  <c r="E32" i="6"/>
  <c r="B87" i="6"/>
  <c r="B88" i="6"/>
  <c r="E32" i="21"/>
  <c r="B88" i="21"/>
  <c r="B87" i="21"/>
  <c r="E32" i="37"/>
  <c r="B86" i="37"/>
  <c r="B85" i="37"/>
  <c r="B85" i="35"/>
  <c r="B86" i="35"/>
  <c r="E32" i="11"/>
  <c r="B86" i="11"/>
  <c r="B87" i="11"/>
  <c r="B87" i="16"/>
  <c r="B88" i="16"/>
  <c r="E32" i="16"/>
  <c r="E32" i="24"/>
  <c r="B87" i="24"/>
  <c r="B88" i="24"/>
  <c r="B87" i="27"/>
  <c r="E32" i="27"/>
  <c r="B88" i="27"/>
  <c r="E32" i="68"/>
  <c r="B87" i="68"/>
  <c r="B88" i="68"/>
  <c r="E32" i="7"/>
  <c r="B86" i="7"/>
  <c r="B87" i="7"/>
  <c r="B87" i="13"/>
  <c r="E32" i="13"/>
  <c r="B88" i="13"/>
  <c r="E32" i="59"/>
  <c r="B88" i="59"/>
  <c r="B87" i="59"/>
  <c r="E32" i="52"/>
  <c r="B87" i="52"/>
  <c r="B88" i="52"/>
  <c r="B87" i="51"/>
  <c r="B88" i="51"/>
  <c r="E32" i="51"/>
  <c r="B87" i="79"/>
  <c r="E32" i="79"/>
  <c r="B88" i="79"/>
  <c r="E32" i="73"/>
  <c r="B88" i="73"/>
  <c r="B87" i="73"/>
  <c r="E32" i="29"/>
  <c r="B87" i="29"/>
  <c r="B88" i="29"/>
  <c r="B85" i="44"/>
  <c r="B86" i="44" s="1"/>
  <c r="E32" i="67"/>
  <c r="B88" i="67"/>
  <c r="B87" i="67"/>
  <c r="E32" i="28"/>
  <c r="B87" i="28"/>
  <c r="B88" i="28"/>
  <c r="B85" i="47"/>
  <c r="B86" i="47" s="1"/>
  <c r="E32" i="72"/>
  <c r="B87" i="72"/>
  <c r="B88" i="72"/>
  <c r="E32" i="23"/>
  <c r="B87" i="23"/>
  <c r="B88" i="23"/>
  <c r="E32" i="10"/>
  <c r="B88" i="10"/>
  <c r="B87" i="10"/>
  <c r="E32" i="22"/>
  <c r="B88" i="22"/>
  <c r="B87" i="22"/>
  <c r="B88" i="65"/>
  <c r="B87" i="65"/>
  <c r="E32" i="65"/>
  <c r="B87" i="49"/>
  <c r="B88" i="49"/>
  <c r="E32" i="49"/>
  <c r="E32" i="83" l="1"/>
  <c r="B84" i="83"/>
  <c r="B83" i="83"/>
  <c r="E32" i="44"/>
  <c r="B88" i="44"/>
  <c r="B87" i="44"/>
  <c r="E32" i="47"/>
  <c r="B88" i="47"/>
  <c r="B87" i="47"/>
  <c r="E32" i="80"/>
  <c r="B88" i="80"/>
  <c r="B87" i="80"/>
  <c r="B88" i="35"/>
  <c r="B87" i="35"/>
  <c r="E32" i="35"/>
  <c r="E32" i="8"/>
  <c r="B87" i="8"/>
  <c r="B88" i="8"/>
</calcChain>
</file>

<file path=xl/sharedStrings.xml><?xml version="1.0" encoding="utf-8"?>
<sst xmlns="http://schemas.openxmlformats.org/spreadsheetml/2006/main" count="9057" uniqueCount="556">
  <si>
    <t>на 01.01 24</t>
  </si>
  <si>
    <t>на 01.12 24</t>
  </si>
  <si>
    <t>Ул. 1-я Строителей дом 42</t>
  </si>
  <si>
    <t>Ул. 1-я Строителей дом 44</t>
  </si>
  <si>
    <t>Ул. 1-я Строителей дом 46</t>
  </si>
  <si>
    <t>Ул. Альшеевская дом 10</t>
  </si>
  <si>
    <t>Ул. Альшеевская дом 12</t>
  </si>
  <si>
    <t>Ул. Альшеевская дом 12/а</t>
  </si>
  <si>
    <t>Ул. Альшеевская дом 14</t>
  </si>
  <si>
    <t>Ул. Альшеевская дом 14/а</t>
  </si>
  <si>
    <t>Ул. Альшеевская дом 15</t>
  </si>
  <si>
    <t>Ул. Альшеевская дом 20/а</t>
  </si>
  <si>
    <t>Ул. Аургазинская дом 8</t>
  </si>
  <si>
    <t>Ул. Грозненская дом 67/1</t>
  </si>
  <si>
    <t>Ул. Грозненская дом 67/2</t>
  </si>
  <si>
    <t>Ул. Грозненская дом 67/3</t>
  </si>
  <si>
    <t>Ул. Грозненская дом 67/4</t>
  </si>
  <si>
    <t>Ул. Грозненская дом 67/5</t>
  </si>
  <si>
    <t>Ул. Грозненская дом 69/7</t>
  </si>
  <si>
    <t>Ул. Дагестанская дом 11</t>
  </si>
  <si>
    <t>Ул. Дагестанская дом 11/1</t>
  </si>
  <si>
    <t>Ул. Дагестанская дом 13</t>
  </si>
  <si>
    <t>Ул. Дагестанская дом 15</t>
  </si>
  <si>
    <t>Ул. Дагестанская дом 17</t>
  </si>
  <si>
    <t>Ул. Дагестанская дом 19</t>
  </si>
  <si>
    <t>Ул. Дагестанская дом 27</t>
  </si>
  <si>
    <t>Ул. Дагестанская дом 31</t>
  </si>
  <si>
    <t>Ул. Дагестанская дом 5</t>
  </si>
  <si>
    <t>Ул. Дагестанская дом 7</t>
  </si>
  <si>
    <t>Ул. Дагестанская дом 9</t>
  </si>
  <si>
    <t>Ул. Дагестанская дом 9/1</t>
  </si>
  <si>
    <t>Ул. Левитана дом 13</t>
  </si>
  <si>
    <t>Ул. Левитана дом 14/1</t>
  </si>
  <si>
    <t>Ул. Левитана дом 14/2</t>
  </si>
  <si>
    <t>Ул. Левитана дом 14/3</t>
  </si>
  <si>
    <t>Ул. Левитана дом 14/5</t>
  </si>
  <si>
    <t>Ул. Левитана дом 14/6</t>
  </si>
  <si>
    <t>Ул. Левитана дом 15</t>
  </si>
  <si>
    <t>Ул. Левитана дом 17</t>
  </si>
  <si>
    <t>Ул. Левитана дом 19</t>
  </si>
  <si>
    <t>Ул. Левитана дом 20</t>
  </si>
  <si>
    <t>Ул. Левитана дом 21</t>
  </si>
  <si>
    <t>Ул. Левитана дом 21/а</t>
  </si>
  <si>
    <t>Ул. Левитана дом 22</t>
  </si>
  <si>
    <t>Ул. Левитана дом 22/2</t>
  </si>
  <si>
    <t>Ул. Левитана дом 23</t>
  </si>
  <si>
    <t>Ул. Левитана дом 3</t>
  </si>
  <si>
    <t>Ул. Левитана дом 36</t>
  </si>
  <si>
    <t>Ул. Левитана дом 37</t>
  </si>
  <si>
    <t>Ул. Левитана дом 39</t>
  </si>
  <si>
    <t>Ул. Левитана дом 39/а</t>
  </si>
  <si>
    <t>Ул. Левитана дом 41</t>
  </si>
  <si>
    <t>Ул. Левитана дом 41/а</t>
  </si>
  <si>
    <t>Ул. Левитана дом 41/б</t>
  </si>
  <si>
    <t>Ул. Левитана дом 43</t>
  </si>
  <si>
    <t>Ул. Левитана дом 43/а</t>
  </si>
  <si>
    <t>Ул. Левитана дом 5</t>
  </si>
  <si>
    <t>Ул. Левитана дом 7</t>
  </si>
  <si>
    <t>Ул. Левитана дом 7/а</t>
  </si>
  <si>
    <t>Ул. Левитана дом 71</t>
  </si>
  <si>
    <t>Ул. Левитана дом 8</t>
  </si>
  <si>
    <t>Ул. Левитана дом 9</t>
  </si>
  <si>
    <t>Ул. Левитана дом 9/а</t>
  </si>
  <si>
    <t>Ул. Локомотивная дом 2</t>
  </si>
  <si>
    <t>Ул. Локомотивная дом 26</t>
  </si>
  <si>
    <t>Ул. Локомотивная дом 4</t>
  </si>
  <si>
    <t>Ул. Локомотивная дом 6</t>
  </si>
  <si>
    <t>Ул. Магистральная дом 12/1</t>
  </si>
  <si>
    <t>Ул. Магистральная дом 17</t>
  </si>
  <si>
    <t>Ул. Магистральная дом 20/1</t>
  </si>
  <si>
    <t>Ул. Магистральная дом 27</t>
  </si>
  <si>
    <t>Ул. Магистральная дом 36</t>
  </si>
  <si>
    <t>Ул. Магистральная дом 6</t>
  </si>
  <si>
    <t>Ул. Магистральная дом 7</t>
  </si>
  <si>
    <t>Ул. Магистральная дом 7/а</t>
  </si>
  <si>
    <t>Ул. Магистральная дом 9</t>
  </si>
  <si>
    <t>Ул. Магистральная дом 9/а</t>
  </si>
  <si>
    <t>Ул. Минская дом 58</t>
  </si>
  <si>
    <t>Ул. Мусоргского дом 11</t>
  </si>
  <si>
    <t>Ул. Мусоргского дом 13</t>
  </si>
  <si>
    <t>Ул. Мусоргского дом 13/а</t>
  </si>
  <si>
    <t>Ул. Мусоргского дом 15</t>
  </si>
  <si>
    <t>Ул. Мусоргского дом 15/а</t>
  </si>
  <si>
    <t>Ул. Мусоргского дом 17</t>
  </si>
  <si>
    <t>Ул. Мусоргского дом 19/1</t>
  </si>
  <si>
    <t>Ул. Мусоргского дом 19/а</t>
  </si>
  <si>
    <t>Ул. Мусоргского дом 19/б</t>
  </si>
  <si>
    <t>Ул. Мусоргского дом 21</t>
  </si>
  <si>
    <t>Ул. Мусоргского дом 21/1</t>
  </si>
  <si>
    <t>Ул. Мусоргского дом 23</t>
  </si>
  <si>
    <t>Ул. Мусоргского дом 25</t>
  </si>
  <si>
    <t>Ул. Мусоргского дом 25/1</t>
  </si>
  <si>
    <t>Ул. Мусоргского дом 7</t>
  </si>
  <si>
    <t>Ул. Мусоргского дом 9</t>
  </si>
  <si>
    <t>Ул. Мусоргского дом 9/а</t>
  </si>
  <si>
    <t>Ул. Мусы Джалиля дом 10</t>
  </si>
  <si>
    <t>Ул. Мусы Джалиля дом 4</t>
  </si>
  <si>
    <t>Ул. Мусы Джалиля дом 5</t>
  </si>
  <si>
    <t>Ул. Мусы Джалиля дом 6</t>
  </si>
  <si>
    <t>Ул. Мусы Джалиля дом 64</t>
  </si>
  <si>
    <t>Ул. Мусы Джалиля дом 66</t>
  </si>
  <si>
    <t>Ул. Мусы Джалиля дом 68/1</t>
  </si>
  <si>
    <t>Ул. Мусы Джалиля дом 74</t>
  </si>
  <si>
    <t>Ул. Мусы Джалиля дом 74/3</t>
  </si>
  <si>
    <t>Ул. Мусы Джалиля дом 8</t>
  </si>
  <si>
    <t>Ул. Новороссийская дом 10</t>
  </si>
  <si>
    <t>Ул. Новороссийская дом 2</t>
  </si>
  <si>
    <t>Ул. Новороссийская дом 4</t>
  </si>
  <si>
    <t>Ул. Новороссийская дом 6</t>
  </si>
  <si>
    <t>Ул. Новороссийская дом 8</t>
  </si>
  <si>
    <t>Ул. Островского дом 16/1</t>
  </si>
  <si>
    <t>Ул. Островского дом 18/1</t>
  </si>
  <si>
    <t>Ул. Правды дом 1</t>
  </si>
  <si>
    <t>Ул. Правды дом 10</t>
  </si>
  <si>
    <t>Ул. Правды дом 10/а</t>
  </si>
  <si>
    <t>Ул. Правды дом 11</t>
  </si>
  <si>
    <t>Ул. Правды дом 12</t>
  </si>
  <si>
    <t>Ул. Правды дом 13</t>
  </si>
  <si>
    <t>Ул. Правды дом 15</t>
  </si>
  <si>
    <t>Ул. Правды дом 18</t>
  </si>
  <si>
    <t>Ул. Правды дом 18/1</t>
  </si>
  <si>
    <t>Ул. Правды дом 18/2</t>
  </si>
  <si>
    <t>Ул. Правды дом 18/3</t>
  </si>
  <si>
    <t>Ул. Правды дом 2</t>
  </si>
  <si>
    <t>Ул. Правды дом 20</t>
  </si>
  <si>
    <t>Ул. Правды дом 20/1</t>
  </si>
  <si>
    <t>Ул. Правды дом 20/2</t>
  </si>
  <si>
    <t>Ул. Правды дом 21</t>
  </si>
  <si>
    <t>Ул. Правды дом 23</t>
  </si>
  <si>
    <t>Ул. Правды дом 25</t>
  </si>
  <si>
    <t>Ул. Правды дом 25/1</t>
  </si>
  <si>
    <t>Ул. Правды дом 25/2</t>
  </si>
  <si>
    <t>Ул. Правды дом 3</t>
  </si>
  <si>
    <t>Ул. Правды дом 31/1</t>
  </si>
  <si>
    <t>Ул. Правды дом 37/1</t>
  </si>
  <si>
    <t>Ул. Правды дом 4</t>
  </si>
  <si>
    <t>Ул. Правды дом 4/1</t>
  </si>
  <si>
    <t>Ул. Правды дом 6</t>
  </si>
  <si>
    <t>Ул. Правды дом 6/а</t>
  </si>
  <si>
    <t>Ул. Правды дом 8</t>
  </si>
  <si>
    <t>Ул. Правды дом 8/1</t>
  </si>
  <si>
    <t>Ул. Правды дом 8/а</t>
  </si>
  <si>
    <t>Ул. Рядовая дом 10</t>
  </si>
  <si>
    <t>Ул. Рядовая дом 11</t>
  </si>
  <si>
    <t>Ул. Рядовая дом 12</t>
  </si>
  <si>
    <t>Ул. Рядовая дом 13</t>
  </si>
  <si>
    <t>Ул. Рядовая дом 15</t>
  </si>
  <si>
    <t>Ул. Рядовая дом 2</t>
  </si>
  <si>
    <t>Ул. Рядовая дом 3</t>
  </si>
  <si>
    <t>Ул. Рядовая дом 3/1</t>
  </si>
  <si>
    <t>Ул. Рядовая дом 5</t>
  </si>
  <si>
    <t>Ул. Рядовая дом 5/1</t>
  </si>
  <si>
    <t>Ул. Рядовая дом 7</t>
  </si>
  <si>
    <t>Ул. Рядовая дом 7/1</t>
  </si>
  <si>
    <t>Ул. Рядовая дом 9</t>
  </si>
  <si>
    <t>Ул. Таллинская дом 14</t>
  </si>
  <si>
    <t>Ул. Таллинская дом 16</t>
  </si>
  <si>
    <t>Ул. Таллинская дом 18</t>
  </si>
  <si>
    <t>Ул. Таллинская дом 2/1</t>
  </si>
  <si>
    <t>Ул. Таллинская дом 20</t>
  </si>
  <si>
    <t>Ул. Таллинская дом 21</t>
  </si>
  <si>
    <t>Ул. Таллинская дом 21/а</t>
  </si>
  <si>
    <t>Ул. Таллинская дом 22</t>
  </si>
  <si>
    <t>Ул. Таллинская дом 23</t>
  </si>
  <si>
    <t>Ул. Таллинская дом 23/а</t>
  </si>
  <si>
    <t>Ул. Таллинская дом 23/б</t>
  </si>
  <si>
    <t>Ул. Таллинская дом 24</t>
  </si>
  <si>
    <t>Ул. Таллинская дом 24/1</t>
  </si>
  <si>
    <t>Ул. Таллинская дом 26</t>
  </si>
  <si>
    <t>Ул. Таллинская дом 26/1</t>
  </si>
  <si>
    <t>Ул. Таллинская дом 28</t>
  </si>
  <si>
    <t>Ул. Таллинская дом 28/1</t>
  </si>
  <si>
    <t>Ул. Таллинская дом 3/1</t>
  </si>
  <si>
    <t>Ул. Таллинская дом 3/а</t>
  </si>
  <si>
    <t>Ул. Таллинская дом 3/б</t>
  </si>
  <si>
    <t>Ул. Таллинская дом 4</t>
  </si>
  <si>
    <t>Ул. Таллинская дом 6</t>
  </si>
  <si>
    <t>Ул. Таллинская дом 7</t>
  </si>
  <si>
    <t>Ул. Туринская дом 2/а</t>
  </si>
  <si>
    <t>Ул. Туринская дом 2/б</t>
  </si>
  <si>
    <t>Ул. Ухтомского дом 11</t>
  </si>
  <si>
    <t>Ул. Ухтомского дом 12</t>
  </si>
  <si>
    <t>Ул. Ухтомского дом 16</t>
  </si>
  <si>
    <t>Ул. Ухтомского дом 21</t>
  </si>
  <si>
    <t>Ул. Ухтомского дом 22</t>
  </si>
  <si>
    <t>Ул. Ухтомского дом 23</t>
  </si>
  <si>
    <t>Ул. Ухтомского дом 24</t>
  </si>
  <si>
    <t>Ул. Ухтомского дом 26</t>
  </si>
  <si>
    <t>Ул. Ухтомского дом 26/2</t>
  </si>
  <si>
    <t>Ул. Ухтомского дом 28</t>
  </si>
  <si>
    <t>Ул. Ухтомского дом 30</t>
  </si>
  <si>
    <t>Ул. Ухтомского дом 30/2</t>
  </si>
  <si>
    <t>Ул. Ухтомского дом 5</t>
  </si>
  <si>
    <t>Ул. Центральная дом 1</t>
  </si>
  <si>
    <t>Ул. Центральная дом 1/2</t>
  </si>
  <si>
    <t>Ул. Центральная дом 10</t>
  </si>
  <si>
    <t>Ул. Центральная дом 12</t>
  </si>
  <si>
    <t>Ул. Центральная дом 12/а</t>
  </si>
  <si>
    <t>Ул. Центральная дом 14</t>
  </si>
  <si>
    <t>Ул. Центральная дом 14/а</t>
  </si>
  <si>
    <t>Ул. Центральная дом 16</t>
  </si>
  <si>
    <t>Ул. Центральная дом 18/1</t>
  </si>
  <si>
    <t>Ул. Центральная дом 2</t>
  </si>
  <si>
    <t>Ул. Центральная дом 22</t>
  </si>
  <si>
    <t>Ул. Центральная дом 22/а</t>
  </si>
  <si>
    <t>Ул. Центральная дом 28</t>
  </si>
  <si>
    <t>Ул. Центральная дом 3</t>
  </si>
  <si>
    <t>Ул. Центральная дом 30</t>
  </si>
  <si>
    <t>Ул. Центральная дом 31/1</t>
  </si>
  <si>
    <t>Ул. Центральная дом 34</t>
  </si>
  <si>
    <t>Ул. Центральная дом 38</t>
  </si>
  <si>
    <t>Ул. Центральная дом 4</t>
  </si>
  <si>
    <t>Ул. Центральная дом 4/а</t>
  </si>
  <si>
    <t>Ул. Центральная дом 40</t>
  </si>
  <si>
    <t>Ул. Центральная дом 42</t>
  </si>
  <si>
    <t>Ул. Центральная дом 44</t>
  </si>
  <si>
    <t>Ул. Центральная дом 51</t>
  </si>
  <si>
    <t>Ул. Центральная дом 6</t>
  </si>
  <si>
    <t>Ул. Центральная дом 6/1</t>
  </si>
  <si>
    <t>Ул. Центральная дом 8</t>
  </si>
  <si>
    <t>Ул. Юматовская дом 2/б</t>
  </si>
  <si>
    <t>Управляющая компания</t>
  </si>
  <si>
    <t>Непосредственное</t>
  </si>
  <si>
    <t>,</t>
  </si>
  <si>
    <t>АО "УЖХ Демского района городского округа город Уфа Республики Башкортостан"</t>
  </si>
  <si>
    <t>Отчет о выполненных работах и оказанных услугах по содержанию и ремонту</t>
  </si>
  <si>
    <t>общего имущества многоквартирного дома</t>
  </si>
  <si>
    <t>Перечень работ и услуг</t>
  </si>
  <si>
    <t>Факт</t>
  </si>
  <si>
    <t>Объем                 (в год)</t>
  </si>
  <si>
    <t>Стоимость за ед. изм.</t>
  </si>
  <si>
    <t>Сальдо на конец  периода (экономия +), (перерасход -)</t>
  </si>
  <si>
    <t>Задолженность населения за ЖКУ  на начало периода</t>
  </si>
  <si>
    <t>1. Доходы</t>
  </si>
  <si>
    <t>-</t>
  </si>
  <si>
    <t>Общая площадь жилых помещений</t>
  </si>
  <si>
    <t>Общая площадь нежилых помещений</t>
  </si>
  <si>
    <t>Общая площадь жилых и нежилых помещений</t>
  </si>
  <si>
    <t>Уборочная площадь территории (приведенная)</t>
  </si>
  <si>
    <t xml:space="preserve">Уборочная площадь лестничных клеток </t>
  </si>
  <si>
    <t xml:space="preserve">Площадь подвала </t>
  </si>
  <si>
    <t>Площадь чердака</t>
  </si>
  <si>
    <t>Площадь кровли</t>
  </si>
  <si>
    <t>Количество лифтов</t>
  </si>
  <si>
    <t xml:space="preserve">Численность проживающих </t>
  </si>
  <si>
    <t>Выручка по содержаниею жилых помещений (начислено)</t>
  </si>
  <si>
    <t>Выручка по содержаниею жилых помещений (поступило)</t>
  </si>
  <si>
    <t xml:space="preserve">Выручка по содержаниею нежилых помещений </t>
  </si>
  <si>
    <t>Выручка по содержаниею нежилых помещений (поступило)</t>
  </si>
  <si>
    <t xml:space="preserve">Выручка от управления общим имуществом </t>
  </si>
  <si>
    <t>Выручка по текущему ремонту</t>
  </si>
  <si>
    <t>2. Расходы:</t>
  </si>
  <si>
    <t>1.Набор работ по техническому обслуживанию конструктивных элементов зданий и внутридомового оборудования подготовке к сезонной эксплуатации</t>
  </si>
  <si>
    <t xml:space="preserve"> - опрессовка (гидравлические испытания), промывка системы ЦО</t>
  </si>
  <si>
    <t xml:space="preserve"> - ремонтные работы цо</t>
  </si>
  <si>
    <t xml:space="preserve"> - сантехнические работы</t>
  </si>
  <si>
    <t xml:space="preserve"> - общестроительные работы</t>
  </si>
  <si>
    <t xml:space="preserve"> - благоустройство</t>
  </si>
  <si>
    <t xml:space="preserve"> - установка почтовых ящиков</t>
  </si>
  <si>
    <r>
      <t xml:space="preserve"> - прочие (</t>
    </r>
    <r>
      <rPr>
        <i/>
        <sz val="9"/>
        <rFont val="Times New Roman"/>
        <family val="1"/>
        <charset val="204"/>
      </rPr>
      <t xml:space="preserve">замена труб, водомера ревизия вентелей, ремонт оголовок, прочистка канализ….) </t>
    </r>
  </si>
  <si>
    <t>Снятие сосулек</t>
  </si>
  <si>
    <r>
      <t>2. Расходы по техническому обслуживанию конструктивных элементов зданий и инженерных коммуникаций МКД, работа по заявкам населения(</t>
    </r>
    <r>
      <rPr>
        <i/>
        <sz val="12"/>
        <rFont val="Times New Roman"/>
        <family val="1"/>
        <charset val="204"/>
      </rPr>
      <t>содержание сантехника, электромонтера, кровельщика, плотника……)</t>
    </r>
  </si>
  <si>
    <t xml:space="preserve"> - непредвиденный ремонт конструктивных элементов</t>
  </si>
  <si>
    <t xml:space="preserve"> - непредвиденный ремонт инженерного оборудования</t>
  </si>
  <si>
    <t xml:space="preserve"> - услуги службы технического обслуживания и ремонта электрооборудования </t>
  </si>
  <si>
    <t>3. Услуги сторонних организаций</t>
  </si>
  <si>
    <t xml:space="preserve"> - дератизация</t>
  </si>
  <si>
    <t>чердак+подвал</t>
  </si>
  <si>
    <t xml:space="preserve"> - дезинсекция</t>
  </si>
  <si>
    <t>подвал</t>
  </si>
  <si>
    <t xml:space="preserve"> - обслуживание лифтов</t>
  </si>
  <si>
    <t xml:space="preserve"> - освидетельствование лифтов</t>
  </si>
  <si>
    <t xml:space="preserve"> - обследование лифтов</t>
  </si>
  <si>
    <t xml:space="preserve"> - страхование лифтов</t>
  </si>
  <si>
    <t xml:space="preserve"> - обслуживание узлов автоматического регулирования</t>
  </si>
  <si>
    <t xml:space="preserve"> - обслуживание узлов учета тепловой энергии</t>
  </si>
  <si>
    <t xml:space="preserve"> - госповерка узлов учета тепловой энергии</t>
  </si>
  <si>
    <t xml:space="preserve"> - обслуживание индивидуального теплового пункта</t>
  </si>
  <si>
    <t xml:space="preserve"> - периодическая ппроверка вентканалов и дымоходов</t>
  </si>
  <si>
    <t xml:space="preserve"> - обслуживание спецконтейнера, утилизация ртутьсодержащих ламп</t>
  </si>
  <si>
    <t xml:space="preserve"> - расходы по вывозу твердых бытовых отходов (без КГМ)</t>
  </si>
  <si>
    <t xml:space="preserve"> - огнезащитная обработка деревянных конструкция кровли</t>
  </si>
  <si>
    <t xml:space="preserve"> - материалы</t>
  </si>
  <si>
    <t xml:space="preserve"> - обслуживание ВДГО</t>
  </si>
  <si>
    <t xml:space="preserve"> - расходы по обслуживанию вентканалов и дымоходов</t>
  </si>
  <si>
    <t xml:space="preserve"> - расходы по диагностированию внутреннего газопровода</t>
  </si>
  <si>
    <t>4. Услуги жилищных предприятий</t>
  </si>
  <si>
    <t xml:space="preserve"> - уборка лестничных клеток</t>
  </si>
  <si>
    <t xml:space="preserve"> - уборка придомовой территории</t>
  </si>
  <si>
    <t xml:space="preserve"> - услуги по вывозу КГМ</t>
  </si>
  <si>
    <t xml:space="preserve"> - услуги абонентской службы (содержание контролеров)</t>
  </si>
  <si>
    <t xml:space="preserve"> - услуги объединенной диспетчерской службы (ОДС)</t>
  </si>
  <si>
    <t xml:space="preserve"> - услуги аварийной  службы (АДС)</t>
  </si>
  <si>
    <t xml:space="preserve"> - услуги по сбору и вывозу растительных отходов и КГМ </t>
  </si>
  <si>
    <t xml:space="preserve"> - услуги по механизированной уборке территории  (и прочие услуги спецтехники)</t>
  </si>
  <si>
    <r>
      <t xml:space="preserve"> 5. Общеэксплуатационные расходы</t>
    </r>
    <r>
      <rPr>
        <i/>
        <sz val="12"/>
        <rFont val="Times New Roman"/>
        <family val="1"/>
        <charset val="204"/>
      </rPr>
      <t>(страхование, аммортизация имущества, ремонт машин и оборудования, содержание производственных помещений , оплатиа труда аппарата управления, мед.обслуживание, почтово-телеграфные расходы, программное обеспечение)</t>
    </r>
  </si>
  <si>
    <t xml:space="preserve"> - общеэксплуатационные расходы ЖЭУ</t>
  </si>
  <si>
    <t>6. Расходы по начислению и сбору платежей и управления многоквартирным домом</t>
  </si>
  <si>
    <r>
      <t xml:space="preserve"> - услуги УК (</t>
    </r>
    <r>
      <rPr>
        <i/>
        <sz val="10"/>
        <rFont val="Times New Roman"/>
        <family val="1"/>
        <charset val="204"/>
      </rPr>
      <t>организация работ по содержанию и ремонту общего имущества и предоставлению КУ</t>
    </r>
    <r>
      <rPr>
        <sz val="12"/>
        <rFont val="Times New Roman"/>
        <family val="1"/>
        <charset val="204"/>
      </rPr>
      <t>)</t>
    </r>
  </si>
  <si>
    <t xml:space="preserve"> - услуги по управлению многоквартирным домом (для нежилых помещений)</t>
  </si>
  <si>
    <r>
      <t xml:space="preserve"> - услуги ЕРКЦ </t>
    </r>
    <r>
      <rPr>
        <i/>
        <sz val="10"/>
        <rFont val="Times New Roman"/>
        <family val="1"/>
        <charset val="204"/>
      </rPr>
      <t>(начисление, формирование, печать, конвертирование, доставка ПД…..)</t>
    </r>
  </si>
  <si>
    <r>
      <t xml:space="preserve"> - услуги организаций по приему платежей ( </t>
    </r>
    <r>
      <rPr>
        <i/>
        <sz val="10"/>
        <rFont val="Times New Roman"/>
        <family val="1"/>
        <charset val="204"/>
      </rPr>
      <t>0,8% от суммы платежей</t>
    </r>
    <r>
      <rPr>
        <sz val="12"/>
        <rFont val="Times New Roman"/>
        <family val="1"/>
        <charset val="204"/>
      </rPr>
      <t>)</t>
    </r>
  </si>
  <si>
    <t>ИТОГО себестоимость</t>
  </si>
  <si>
    <t xml:space="preserve">Рентабельность 3 % </t>
  </si>
  <si>
    <t xml:space="preserve">ИТОГО стоимость услуг в год без НДС </t>
  </si>
  <si>
    <t xml:space="preserve">НДС 20 % </t>
  </si>
  <si>
    <t xml:space="preserve">ИТОГО стоимость услуг в год с НДС </t>
  </si>
  <si>
    <t>Сальдо на конец  периода (экономия +), (перерасход -) от начисленного</t>
  </si>
  <si>
    <t>Сальдо на конец  периода (экономия +), (перерасход -) от поступившего</t>
  </si>
  <si>
    <t>Задолженность населения за ЖКУ  на конец периода</t>
  </si>
  <si>
    <t xml:space="preserve">                              И.о. директора                                                                                    А.М. Андреев                                                                                                        </t>
  </si>
  <si>
    <t>Ремонт кровли</t>
  </si>
  <si>
    <t xml:space="preserve"> - прочие</t>
  </si>
  <si>
    <t xml:space="preserve"> - прочие </t>
  </si>
  <si>
    <t xml:space="preserve"> - обслуживание насосных станций</t>
  </si>
  <si>
    <t xml:space="preserve"> - обслуживание систем АППЗ и ДУ</t>
  </si>
  <si>
    <t xml:space="preserve"> - периодическая проверка вентканалов и дымоходов</t>
  </si>
  <si>
    <t xml:space="preserve"> - дезинсекции</t>
  </si>
  <si>
    <t xml:space="preserve"> - установка двери</t>
  </si>
  <si>
    <t>Выручка по содержанию жилых помещений (начислено)</t>
  </si>
  <si>
    <t>Выручка по содержанию жилых помещений (поступило)</t>
  </si>
  <si>
    <t>Выручка по содержаниею нежилых помещений</t>
  </si>
  <si>
    <t xml:space="preserve"> - ремонтные работы ЦО</t>
  </si>
  <si>
    <t>Смена вентилей,установка заглушек</t>
  </si>
  <si>
    <r>
      <t xml:space="preserve"> - прочие (</t>
    </r>
    <r>
      <rPr>
        <i/>
        <sz val="12"/>
        <color indexed="8"/>
        <rFont val="Times New Roman"/>
        <family val="1"/>
        <charset val="204"/>
      </rPr>
      <t xml:space="preserve">замена труб, водомера ревизия вентелей, ремонт оголовок, прочистка канализ….) </t>
    </r>
  </si>
  <si>
    <r>
      <t>2. Расходы по техническому обслуживанию конструктивных элементов зданий и инженерных коммуникаций МКД, работа по заявкам населения (</t>
    </r>
    <r>
      <rPr>
        <i/>
        <sz val="12"/>
        <color indexed="8"/>
        <rFont val="Times New Roman"/>
        <family val="1"/>
        <charset val="204"/>
      </rPr>
      <t>содержание сантехника, электромонтера, кровельщика, плотника……)</t>
    </r>
  </si>
  <si>
    <t xml:space="preserve"> - дератизации</t>
  </si>
  <si>
    <t xml:space="preserve"> - услуги ВДГО</t>
  </si>
  <si>
    <r>
      <t xml:space="preserve"> 5. Общеэксплуатационные расходы</t>
    </r>
    <r>
      <rPr>
        <i/>
        <sz val="12"/>
        <color indexed="8"/>
        <rFont val="Times New Roman"/>
        <family val="1"/>
        <charset val="204"/>
      </rPr>
      <t>(страхование, аммортизация имущества, ремонт машин и оборудования, содержание производственных помещений , оплатиа труда аппарата управления, мед.обслуживание, почтово-телеграфные расходы, программное обеспечение)</t>
    </r>
  </si>
  <si>
    <r>
      <t xml:space="preserve"> - услуги УК (</t>
    </r>
    <r>
      <rPr>
        <i/>
        <sz val="12"/>
        <color indexed="8"/>
        <rFont val="Times New Roman"/>
        <family val="1"/>
        <charset val="204"/>
      </rPr>
      <t>организация работ по содержанию и ремонту общего имущества и предоставлению КУ</t>
    </r>
    <r>
      <rPr>
        <sz val="12"/>
        <color indexed="8"/>
        <rFont val="Times New Roman"/>
        <family val="1"/>
        <charset val="204"/>
      </rPr>
      <t>)</t>
    </r>
  </si>
  <si>
    <r>
      <t xml:space="preserve"> - услуги ЕРКЦ </t>
    </r>
    <r>
      <rPr>
        <i/>
        <sz val="12"/>
        <color indexed="8"/>
        <rFont val="Times New Roman"/>
        <family val="1"/>
        <charset val="204"/>
      </rPr>
      <t>(начисление, формирование, печать, конвертирование, доставка ПД…..)</t>
    </r>
  </si>
  <si>
    <r>
      <t xml:space="preserve"> - услуги организаций по приему платежей ( </t>
    </r>
    <r>
      <rPr>
        <i/>
        <sz val="12"/>
        <color indexed="8"/>
        <rFont val="Times New Roman"/>
        <family val="1"/>
        <charset val="204"/>
      </rPr>
      <t>0,8% от суммы платежей</t>
    </r>
    <r>
      <rPr>
        <sz val="12"/>
        <color indexed="8"/>
        <rFont val="Times New Roman"/>
        <family val="1"/>
        <charset val="204"/>
      </rPr>
      <t>)</t>
    </r>
  </si>
  <si>
    <t xml:space="preserve">                          И.о.директора                                                                                                      А.М. Андреев                                                                                                                            </t>
  </si>
  <si>
    <t xml:space="preserve">                          Главный экономист                                                                                  Е.М. Еникеева</t>
  </si>
  <si>
    <t>Смена монометров</t>
  </si>
  <si>
    <t xml:space="preserve">Очистка канализационной сети </t>
  </si>
  <si>
    <t>Смена трубопроводов</t>
  </si>
  <si>
    <t>Ремонт шиферной кровли</t>
  </si>
  <si>
    <t>Сантехнические работы</t>
  </si>
  <si>
    <t xml:space="preserve"> - очистка кровли от снега</t>
  </si>
  <si>
    <t xml:space="preserve"> - замер сопротивления изоляции</t>
  </si>
  <si>
    <t xml:space="preserve"> - услуги ВДГО (диагностика, обслуживание)</t>
  </si>
  <si>
    <t xml:space="preserve"> - очистка кровли от снега и наледи</t>
  </si>
  <si>
    <t xml:space="preserve"> - ремонт кровли</t>
  </si>
  <si>
    <t xml:space="preserve"> -  техническое обслуживание узла учета тепловой энергии</t>
  </si>
  <si>
    <t xml:space="preserve"> - материалы и ремонтные работы </t>
  </si>
  <si>
    <t xml:space="preserve"> - поверка ОДПУ ТЭ</t>
  </si>
  <si>
    <t xml:space="preserve"> - техническое обслуживание УУТЭ</t>
  </si>
  <si>
    <t xml:space="preserve"> - установка модемов</t>
  </si>
  <si>
    <t xml:space="preserve">Окраска ограждений </t>
  </si>
  <si>
    <t xml:space="preserve"> - поверка приборов учета тепловой энергии</t>
  </si>
  <si>
    <t xml:space="preserve"> - проверка вентканалов</t>
  </si>
  <si>
    <t xml:space="preserve"> - диагностика ВДГО</t>
  </si>
  <si>
    <t>Выручка по содержанию нежилых помещений</t>
  </si>
  <si>
    <t>Выручка по содержанию нежилых помещений (поступило)</t>
  </si>
  <si>
    <t>убрали наряды по сантехнике</t>
  </si>
  <si>
    <t xml:space="preserve">Ремонт Фасада </t>
  </si>
  <si>
    <t xml:space="preserve"> - ремонт мешп. швов</t>
  </si>
  <si>
    <t xml:space="preserve"> -изготовление технического паспорта</t>
  </si>
  <si>
    <t xml:space="preserve"> - техническое обслуживание узла учета тепловой энергии</t>
  </si>
  <si>
    <t xml:space="preserve"> -ремонт и поверка Взлет 024 М, ЭР 420</t>
  </si>
  <si>
    <t xml:space="preserve"> - ремонт и поверка ТСРВ</t>
  </si>
  <si>
    <t xml:space="preserve"> - материалы и ремонтные работы</t>
  </si>
  <si>
    <t xml:space="preserve"> - ремонт межпанельных швов</t>
  </si>
  <si>
    <t xml:space="preserve"> - установка качелей</t>
  </si>
  <si>
    <t xml:space="preserve"> - поверка ПРЭМ</t>
  </si>
  <si>
    <t xml:space="preserve"> - замена платы ПРЭМ</t>
  </si>
  <si>
    <t>Смена монометров,вентилей</t>
  </si>
  <si>
    <t>Проверка на прогрев отопительных приб.</t>
  </si>
  <si>
    <t>Закраска граффити</t>
  </si>
  <si>
    <t xml:space="preserve">Очистка козырька от снега  и снятие сосулек с крыши </t>
  </si>
  <si>
    <t>окраска дет площадки</t>
  </si>
  <si>
    <t>окраска бельевых труб</t>
  </si>
  <si>
    <t>33200*1,12</t>
  </si>
  <si>
    <t>Выручка по диагностированию ВДГО</t>
  </si>
  <si>
    <t xml:space="preserve">Ремонт дверного полотна </t>
  </si>
  <si>
    <t>Очистка кровли от снега</t>
  </si>
  <si>
    <t>Окраска ограждений</t>
  </si>
  <si>
    <t>Разборка асфальтового покрытия</t>
  </si>
  <si>
    <t xml:space="preserve">Окраска ограждений и побелка деревьев </t>
  </si>
  <si>
    <t xml:space="preserve"> - обслуживание УУТЭ</t>
  </si>
  <si>
    <t xml:space="preserve"> - электроиспытания электоустановок</t>
  </si>
  <si>
    <t xml:space="preserve"> - обслуживание ремонт установок дымоудаления и пожарной сигнализации</t>
  </si>
  <si>
    <t xml:space="preserve"> - АППЗ и ДУ</t>
  </si>
  <si>
    <t>Промазка стыков кровли мастикой</t>
  </si>
  <si>
    <t>Смена профнастила на контейнерной площадке</t>
  </si>
  <si>
    <t>подготовка ям для посадки кустарников</t>
  </si>
  <si>
    <t>обшивка контейнерной площадки профнастилом</t>
  </si>
  <si>
    <t>окраска контейнерной площадки</t>
  </si>
  <si>
    <t xml:space="preserve"> - освидетельствование </t>
  </si>
  <si>
    <t xml:space="preserve"> - обслуживание узла учета тепловой энергии</t>
  </si>
  <si>
    <t xml:space="preserve"> - материалы, ремонтные работы</t>
  </si>
  <si>
    <t xml:space="preserve">                              И.о. директора                                                                                    А.К. Шамсутдинов                                                                                   </t>
  </si>
  <si>
    <t xml:space="preserve"> - техническое обслуживание и материалы</t>
  </si>
  <si>
    <t xml:space="preserve"> - диспетчеризация регулятора температур</t>
  </si>
  <si>
    <t xml:space="preserve"> - изготовление техпаспорта</t>
  </si>
  <si>
    <t xml:space="preserve"> - обслуживание ИТП</t>
  </si>
  <si>
    <t>Ремонт парапетных решеток</t>
  </si>
  <si>
    <t xml:space="preserve"> - материалы ремонтные работы</t>
  </si>
  <si>
    <t>Выручка от управления общим имуществом</t>
  </si>
  <si>
    <t xml:space="preserve"> - запуск системы ЦО</t>
  </si>
  <si>
    <r>
      <t>2. Расходы по техническому обслуживанию конструктивных элементов зданий и инженерных коммуникаций МКД, работа по заявкам населения (</t>
    </r>
    <r>
      <rPr>
        <i/>
        <sz val="12"/>
        <rFont val="Times New Roman"/>
        <family val="1"/>
        <charset val="204"/>
      </rPr>
      <t>содержание сантехника, электромонтера, кровельщика, плотника……)</t>
    </r>
  </si>
  <si>
    <t xml:space="preserve"> - материалы </t>
  </si>
  <si>
    <t xml:space="preserve"> - проверка вентканалов и дымоходов</t>
  </si>
  <si>
    <t xml:space="preserve"> - материалы и мастер класс по изготовлению дворовых фигур</t>
  </si>
  <si>
    <t xml:space="preserve"> - услуги ВДГО </t>
  </si>
  <si>
    <t xml:space="preserve"> </t>
  </si>
  <si>
    <t>И.о.директора                                                                         А.М. Андреев</t>
  </si>
  <si>
    <t>Главный экономист                                                            Е.М. Еникеева</t>
  </si>
  <si>
    <t xml:space="preserve"> - заливка хоккейной коробки</t>
  </si>
  <si>
    <t xml:space="preserve"> -  очистка кровли от снега</t>
  </si>
  <si>
    <t xml:space="preserve"> - материалы, и мастер класс по изготовлению дворовых фигур</t>
  </si>
  <si>
    <t xml:space="preserve"> - проверка дымоходов</t>
  </si>
  <si>
    <t xml:space="preserve"> - проверка  вентканалов и дымоходов</t>
  </si>
  <si>
    <t xml:space="preserve"> - ремонтные работы</t>
  </si>
  <si>
    <t xml:space="preserve"> - установка модемов </t>
  </si>
  <si>
    <t xml:space="preserve"> - замена платы ВКТ-7</t>
  </si>
  <si>
    <t xml:space="preserve"> -  материалы</t>
  </si>
  <si>
    <t xml:space="preserve"> - поверка ВКТ-7</t>
  </si>
  <si>
    <t xml:space="preserve"> - обслуживание приборов автоматического регулирования</t>
  </si>
  <si>
    <t xml:space="preserve"> -  техническое обслуживание узла  учета тепловой энергии</t>
  </si>
  <si>
    <t xml:space="preserve"> - благоустройство двора</t>
  </si>
  <si>
    <t xml:space="preserve"> -периодическая проверка вентканалов и дымоходов</t>
  </si>
  <si>
    <t xml:space="preserve"> - проверка вентканалов </t>
  </si>
  <si>
    <t xml:space="preserve"> - техническое обслуживание приборов автоматического регулирования</t>
  </si>
  <si>
    <t xml:space="preserve"> -очистка кровли от снега</t>
  </si>
  <si>
    <t xml:space="preserve"> - ремонтные работы </t>
  </si>
  <si>
    <t xml:space="preserve"> - поверка Взлет 024М, Эр 420</t>
  </si>
  <si>
    <t xml:space="preserve"> - очистка кровель от снега и наледи </t>
  </si>
  <si>
    <t xml:space="preserve"> - поверочные работы расходомера</t>
  </si>
  <si>
    <t>Выручка по диагностированию  ВДГО</t>
  </si>
  <si>
    <t xml:space="preserve"> - окраска входных групп</t>
  </si>
  <si>
    <t xml:space="preserve"> - планировка грунта</t>
  </si>
  <si>
    <t>за счет остатка</t>
  </si>
  <si>
    <t xml:space="preserve"> - окраска фасада</t>
  </si>
  <si>
    <t>благоустройство</t>
  </si>
  <si>
    <t xml:space="preserve">Окраска фасада  </t>
  </si>
  <si>
    <t>Замена металлической двери</t>
  </si>
  <si>
    <t>Окраска цоколя</t>
  </si>
  <si>
    <t>Ремонт фасада</t>
  </si>
  <si>
    <t xml:space="preserve"> - установка блоков питания для теплосчетчиков</t>
  </si>
  <si>
    <t>Подготовительные работы к опрессовке системы ЦО</t>
  </si>
  <si>
    <t>Смена запорной арматуры</t>
  </si>
  <si>
    <t>Очистка кровли от снега и наледи</t>
  </si>
  <si>
    <t xml:space="preserve"> - диспетчеризация ком приборов учета</t>
  </si>
  <si>
    <t xml:space="preserve"> - прочистка вентиляционных каналов</t>
  </si>
  <si>
    <t xml:space="preserve"> - установка блока питания для теплосчетчиков</t>
  </si>
  <si>
    <t xml:space="preserve"> - ремонт лестничной клетки</t>
  </si>
  <si>
    <t xml:space="preserve"> - обследование дымовых и вентиляционных каналов</t>
  </si>
  <si>
    <t>Прочистка вентиляционных каналов</t>
  </si>
  <si>
    <t>Ремонт оголовков вентканалов</t>
  </si>
  <si>
    <t>Ремонт дымохода</t>
  </si>
  <si>
    <t xml:space="preserve"> - занализ воды</t>
  </si>
  <si>
    <t xml:space="preserve"> - проверка дымоходов </t>
  </si>
  <si>
    <t xml:space="preserve"> - периодическая проверка вентканалов и дымоходов </t>
  </si>
  <si>
    <t xml:space="preserve"> - провера дымоходов</t>
  </si>
  <si>
    <t xml:space="preserve"> - прочистка дымохода</t>
  </si>
  <si>
    <t>убрала /12*8</t>
  </si>
  <si>
    <t>14924,47 выручка с 2015-2019год</t>
  </si>
  <si>
    <t xml:space="preserve"> - установка дверей</t>
  </si>
  <si>
    <t xml:space="preserve"> - скамейка комфорт</t>
  </si>
  <si>
    <t xml:space="preserve"> - освидетельствование</t>
  </si>
  <si>
    <r>
      <t xml:space="preserve"> 5. Общеэксплуатационные расходы</t>
    </r>
    <r>
      <rPr>
        <i/>
        <sz val="12"/>
        <rFont val="Times New Roman"/>
        <family val="1"/>
        <charset val="204"/>
      </rPr>
      <t>(</t>
    </r>
    <r>
      <rPr>
        <i/>
        <sz val="10"/>
        <rFont val="Times New Roman"/>
        <family val="1"/>
        <charset val="204"/>
      </rPr>
      <t>страхование, аммортизация имущества, ремонт машини оборудования, содержание производственных помещений , оплатиа труда аппарата управления, мед.обслуживание, почтово-телеграфные расходы, программное обеспечение)</t>
    </r>
  </si>
  <si>
    <r>
      <t xml:space="preserve"> - услуги ЕРКЦ </t>
    </r>
    <r>
      <rPr>
        <i/>
        <sz val="10"/>
        <color indexed="8"/>
        <rFont val="Times New Roman"/>
        <family val="1"/>
        <charset val="204"/>
      </rPr>
      <t>(начисление, формирование, печать, конвертирование, доставка ПД…..)</t>
    </r>
  </si>
  <si>
    <r>
      <t xml:space="preserve"> - услуги организаций по приему платежей ( </t>
    </r>
    <r>
      <rPr>
        <i/>
        <sz val="10"/>
        <color indexed="8"/>
        <rFont val="Times New Roman"/>
        <family val="1"/>
        <charset val="204"/>
      </rPr>
      <t>0,8% от суммы платежей</t>
    </r>
    <r>
      <rPr>
        <sz val="12"/>
        <color indexed="8"/>
        <rFont val="Times New Roman"/>
        <family val="1"/>
        <charset val="204"/>
      </rPr>
      <t>)</t>
    </r>
  </si>
  <si>
    <t>- очистка кровли от снега и наледи</t>
  </si>
  <si>
    <t>Установка циркуляционного насоса</t>
  </si>
  <si>
    <t>Покраска объектов благоустройства</t>
  </si>
  <si>
    <t>Ремонт ступеней</t>
  </si>
  <si>
    <t>Восстановление циркуляции ГВС</t>
  </si>
  <si>
    <t>Выручка от управления общим имуществом (начислено)</t>
  </si>
  <si>
    <t xml:space="preserve"> - периодическая проверка дымоходов и вентканалов</t>
  </si>
  <si>
    <t xml:space="preserve"> - герметизация межпанельных швов</t>
  </si>
  <si>
    <t xml:space="preserve"> - освидетельствование  лифтов</t>
  </si>
  <si>
    <t xml:space="preserve"> - установка моноблока КЛШ-КСЛ</t>
  </si>
  <si>
    <t xml:space="preserve"> - услуги по механизированной уборке территории (прочие услуги спецтехники)</t>
  </si>
  <si>
    <t xml:space="preserve">                              И.о.директора                                                                                               А.М. Андреев                                                                                          </t>
  </si>
  <si>
    <t xml:space="preserve"> - укупорка жилого дома</t>
  </si>
  <si>
    <t xml:space="preserve"> - очистка кровли</t>
  </si>
  <si>
    <t xml:space="preserve"> - установка циркуляционного насоса</t>
  </si>
  <si>
    <t xml:space="preserve"> - замена теплообменика </t>
  </si>
  <si>
    <t xml:space="preserve"> - устранение засоров</t>
  </si>
  <si>
    <t xml:space="preserve"> - очистка кровель от снега и наледи</t>
  </si>
  <si>
    <t xml:space="preserve"> - устанока модемов</t>
  </si>
  <si>
    <t xml:space="preserve"> - техническое обслуживание ИТП</t>
  </si>
  <si>
    <t>Выручка по диагонстированию ВДГО</t>
  </si>
  <si>
    <t xml:space="preserve"> - изготовлеие техпаспорта</t>
  </si>
  <si>
    <t xml:space="preserve"> - техническое обслуживание узла учета </t>
  </si>
  <si>
    <t xml:space="preserve"> - установка насоса</t>
  </si>
  <si>
    <t>убрали декабрь</t>
  </si>
  <si>
    <t xml:space="preserve"> - изготовление технического паспорта</t>
  </si>
  <si>
    <t xml:space="preserve"> - ремонт мешп. Швов</t>
  </si>
  <si>
    <t xml:space="preserve"> - обследование трубопроводов канализации</t>
  </si>
  <si>
    <t xml:space="preserve"> - установка пластиковой двери</t>
  </si>
  <si>
    <t xml:space="preserve"> - текущий ремонт автоматизированного узла управления системой отопления</t>
  </si>
  <si>
    <t xml:space="preserve"> -  обслуживание ВДГО</t>
  </si>
  <si>
    <t xml:space="preserve"> - техническое обслуживание индивидуального теплового пункта</t>
  </si>
  <si>
    <t xml:space="preserve"> - техническое обслуживание учета тепловой энергии</t>
  </si>
  <si>
    <t xml:space="preserve"> - замена деревянных оконных блоков на пластиковые</t>
  </si>
  <si>
    <t xml:space="preserve"> - благоустройство </t>
  </si>
  <si>
    <t>Отчет управляющей компании по содержанию и ремонту</t>
  </si>
  <si>
    <t xml:space="preserve"> -  техническое обслуживание приборов автоматического регулирования</t>
  </si>
  <si>
    <t xml:space="preserve"> - обслуживание АППЗ и ДУ</t>
  </si>
  <si>
    <t xml:space="preserve"> - Установка вытозапчастей </t>
  </si>
  <si>
    <t xml:space="preserve"> - установка блоков УПДКЛ</t>
  </si>
  <si>
    <t xml:space="preserve"> - дигностика ВДГО</t>
  </si>
  <si>
    <t xml:space="preserve"> - сантехнические работы </t>
  </si>
  <si>
    <t xml:space="preserve"> - замена крана</t>
  </si>
  <si>
    <t>Смена дверных приборов: замок</t>
  </si>
  <si>
    <t>Ремонт дверных приборов:доводчик</t>
  </si>
  <si>
    <t xml:space="preserve"> - услуги ВДГО (обслуживание, диагностика)</t>
  </si>
  <si>
    <t xml:space="preserve"> - текущий ремонт КНС</t>
  </si>
  <si>
    <t xml:space="preserve"> - общестроительные</t>
  </si>
  <si>
    <t>Окраска газовых труб</t>
  </si>
  <si>
    <t xml:space="preserve">Ремонт цоколя </t>
  </si>
  <si>
    <t xml:space="preserve">Ремонт оконных коробок </t>
  </si>
  <si>
    <t>за 2024 год</t>
  </si>
  <si>
    <t>ул. Левитана дом 15</t>
  </si>
  <si>
    <t>ул. Левитана дом 21</t>
  </si>
  <si>
    <t>ул. Левитана дом 37</t>
  </si>
  <si>
    <t>ул. Левитана дом 39</t>
  </si>
  <si>
    <t>ул. Левитана дом 39/А</t>
  </si>
  <si>
    <t>ул. Левитана дом 41/Б</t>
  </si>
  <si>
    <t>ул. Левитана дом 7/А</t>
  </si>
  <si>
    <t>ул. Левитана дом 9/А</t>
  </si>
  <si>
    <t>ул. Мусы Джалиля дом 4</t>
  </si>
  <si>
    <t>ул. Новороссийская дом 4</t>
  </si>
  <si>
    <t>ул. Новороссийская дом 6</t>
  </si>
  <si>
    <t>ул. Рядовая дом 10</t>
  </si>
  <si>
    <t>ул. Рядовая дом 12</t>
  </si>
  <si>
    <t>ул. Рядовая дом 13</t>
  </si>
  <si>
    <t>ул. Рядовая дом 15</t>
  </si>
  <si>
    <t>ул. Рядовая дом 3</t>
  </si>
  <si>
    <t>ул. Рядовая дом 9</t>
  </si>
  <si>
    <t>ул. Таллинская дом 16</t>
  </si>
  <si>
    <t>ул. Таллинская дом 3/Б</t>
  </si>
  <si>
    <t>ул. Центральная дом 14/А</t>
  </si>
  <si>
    <t>ул. Центральная дом 22/А</t>
  </si>
  <si>
    <t>ул. Центральная дом 40</t>
  </si>
  <si>
    <t>остаток на 01.01.2024</t>
  </si>
  <si>
    <t xml:space="preserve"> - электроиспытания электроустановок потребителей</t>
  </si>
  <si>
    <t xml:space="preserve"> - ремонт и поверка ОДПУ</t>
  </si>
  <si>
    <t xml:space="preserve"> - диспетчеризация ком.приборов учета</t>
  </si>
  <si>
    <t xml:space="preserve"> - установка циркуляционногго насоса</t>
  </si>
  <si>
    <t xml:space="preserve"> - техническое обслуживание ВДГО</t>
  </si>
  <si>
    <t xml:space="preserve"> -  электроиспытания электроустановок потребителей</t>
  </si>
  <si>
    <t xml:space="preserve"> - диспетчеризация ком.приборов учета </t>
  </si>
  <si>
    <t xml:space="preserve"> - обслуживание УАР</t>
  </si>
  <si>
    <t xml:space="preserve"> -  диспетчеризация ком.приборов учета</t>
  </si>
  <si>
    <t xml:space="preserve"> - ремонт контроллера данфос</t>
  </si>
  <si>
    <t xml:space="preserve"> - техническое обслуживание узлов учета тепловой энергии</t>
  </si>
  <si>
    <t xml:space="preserve"> - дтспетчеризация ком.приборов учета</t>
  </si>
  <si>
    <t xml:space="preserve"> - диспетчеризация ком. приборов учета</t>
  </si>
  <si>
    <t xml:space="preserve"> - элекроиспытания электроустановок потребителей</t>
  </si>
  <si>
    <t xml:space="preserve"> - ремон и поверка ОДПУ</t>
  </si>
  <si>
    <t xml:space="preserve"> - метрологическая проверка приборов УУТЭ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</si>
</sst>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р_._-;\-* #,##0.00_р_._-;_-* &quot;-&quot;??_р_._-;_-@_-"/>
    <numFmt numFmtId="165" formatCode="0.0"/>
    <numFmt numFmtId="166" formatCode="_-* #,##0.00\ _₽_-;\-* #,##0.00\ _₽_-;_-* &quot;-&quot;??\ _₽_-;_-@_-"/>
  </numFmts>
  <fonts count="45" x14ac:knownFonts="1">
    <font>
      <sz val="10"/>
      <color indexed="8"/>
      <name val="arial"/>
      <charset val="1"/>
    </font>
    <font>
      <b/>
      <sz val="11"/>
      <color indexed="8"/>
      <name val="Calibri"/>
      <family val="2"/>
      <charset val="204"/>
    </font>
    <font>
      <sz val="10"/>
      <color indexed="8"/>
      <name val="Arial"/>
      <family val="2"/>
      <charset val="204"/>
    </font>
    <font>
      <sz val="8"/>
      <name val="Arial"/>
      <family val="2"/>
    </font>
    <font>
      <b/>
      <sz val="13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i/>
      <u/>
      <sz val="12"/>
      <name val="Times New Roman"/>
      <family val="1"/>
      <charset val="204"/>
    </font>
    <font>
      <b/>
      <i/>
      <sz val="10"/>
      <name val="Arial"/>
      <family val="2"/>
      <charset val="204"/>
    </font>
    <font>
      <b/>
      <i/>
      <sz val="11"/>
      <name val="Arial Cyr"/>
      <charset val="204"/>
    </font>
    <font>
      <b/>
      <i/>
      <sz val="12"/>
      <name val="Times New Roman"/>
      <family val="1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i/>
      <sz val="9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1"/>
      <color indexed="8"/>
      <name val="Calibri"/>
      <family val="2"/>
    </font>
    <font>
      <i/>
      <sz val="10"/>
      <name val="Times New Roman"/>
      <family val="1"/>
      <charset val="204"/>
    </font>
    <font>
      <b/>
      <sz val="13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i/>
      <sz val="12"/>
      <color indexed="8"/>
      <name val="Times New Roman"/>
      <family val="1"/>
      <charset val="204"/>
    </font>
    <font>
      <i/>
      <u/>
      <sz val="12"/>
      <color indexed="8"/>
      <name val="Times New Roman"/>
      <family val="1"/>
      <charset val="204"/>
    </font>
    <font>
      <b/>
      <i/>
      <sz val="10"/>
      <color indexed="8"/>
      <name val="Arial"/>
      <family val="2"/>
      <charset val="204"/>
    </font>
    <font>
      <b/>
      <i/>
      <sz val="11"/>
      <color indexed="8"/>
      <name val="Arial Cyr"/>
      <charset val="204"/>
    </font>
    <font>
      <b/>
      <i/>
      <sz val="12"/>
      <color indexed="8"/>
      <name val="Times New Roman"/>
      <family val="1"/>
      <charset val="204"/>
    </font>
    <font>
      <sz val="10"/>
      <color indexed="8"/>
      <name val="Arial"/>
      <family val="2"/>
      <charset val="204"/>
    </font>
    <font>
      <b/>
      <i/>
      <sz val="11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3"/>
      <color indexed="8"/>
      <name val="Times New Roman"/>
      <family val="1"/>
      <charset val="204"/>
    </font>
    <font>
      <b/>
      <i/>
      <sz val="12"/>
      <color indexed="8"/>
      <name val="Times New Roman"/>
      <family val="1"/>
      <charset val="204"/>
    </font>
    <font>
      <b/>
      <i/>
      <sz val="11"/>
      <color indexed="8"/>
      <name val="Arial Cyr"/>
      <charset val="204"/>
    </font>
    <font>
      <b/>
      <i/>
      <sz val="11"/>
      <color indexed="8"/>
      <name val="Times New Roman"/>
      <family val="1"/>
      <charset val="204"/>
    </font>
    <font>
      <sz val="10"/>
      <color indexed="10"/>
      <name val="Arial"/>
      <family val="2"/>
      <charset val="204"/>
    </font>
    <font>
      <sz val="12"/>
      <color indexed="10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sz val="10"/>
      <name val="Arial"/>
      <family val="2"/>
      <charset val="204"/>
    </font>
    <font>
      <sz val="11"/>
      <color indexed="10"/>
      <name val="Times New Roman"/>
      <family val="1"/>
      <charset val="204"/>
    </font>
    <font>
      <sz val="8"/>
      <name val="arial"/>
      <charset val="1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49"/>
      </left>
      <right style="thin">
        <color indexed="49"/>
      </right>
      <top style="thin">
        <color indexed="49"/>
      </top>
      <bottom style="thin">
        <color indexed="49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44" fillId="0" borderId="0"/>
    <xf numFmtId="0" fontId="12" fillId="0" borderId="0"/>
    <xf numFmtId="0" fontId="3" fillId="0" borderId="0"/>
    <xf numFmtId="9" fontId="19" fillId="0" borderId="0" applyFont="0" applyFill="0" applyBorder="0" applyAlignment="0" applyProtection="0"/>
    <xf numFmtId="164" fontId="12" fillId="0" borderId="0" applyFont="0" applyFill="0" applyBorder="0" applyAlignment="0" applyProtection="0"/>
    <xf numFmtId="166" fontId="19" fillId="0" borderId="0" applyFont="0" applyFill="0" applyBorder="0" applyAlignment="0" applyProtection="0"/>
  </cellStyleXfs>
  <cellXfs count="350">
    <xf numFmtId="0" fontId="0" fillId="0" borderId="0" xfId="0"/>
    <xf numFmtId="0" fontId="2" fillId="0" borderId="0" xfId="0" applyFont="1"/>
    <xf numFmtId="0" fontId="0" fillId="0" borderId="1" xfId="0" applyBorder="1"/>
    <xf numFmtId="0" fontId="5" fillId="0" borderId="0" xfId="1" applyFont="1"/>
    <xf numFmtId="0" fontId="6" fillId="0" borderId="0" xfId="3" applyFont="1" applyAlignment="1">
      <alignment horizontal="center"/>
    </xf>
    <xf numFmtId="0" fontId="6" fillId="2" borderId="0" xfId="3" applyFont="1" applyFill="1" applyAlignment="1">
      <alignment horizontal="center"/>
    </xf>
    <xf numFmtId="0" fontId="6" fillId="2" borderId="0" xfId="3" applyFont="1" applyFill="1"/>
    <xf numFmtId="0" fontId="7" fillId="2" borderId="0" xfId="1" applyFont="1" applyFill="1"/>
    <xf numFmtId="0" fontId="7" fillId="0" borderId="0" xfId="1" applyFont="1"/>
    <xf numFmtId="0" fontId="8" fillId="0" borderId="0" xfId="3" applyFont="1"/>
    <xf numFmtId="0" fontId="11" fillId="0" borderId="2" xfId="3" applyFont="1" applyBorder="1" applyAlignment="1">
      <alignment horizontal="left" vertical="center" wrapText="1"/>
    </xf>
    <xf numFmtId="4" fontId="9" fillId="2" borderId="2" xfId="1" applyNumberFormat="1" applyFont="1" applyFill="1" applyBorder="1" applyAlignment="1">
      <alignment horizontal="center" vertical="center" wrapText="1"/>
    </xf>
    <xf numFmtId="2" fontId="10" fillId="0" borderId="3" xfId="1" applyNumberFormat="1" applyFont="1" applyBorder="1" applyAlignment="1">
      <alignment horizontal="center" vertical="center" wrapText="1"/>
    </xf>
    <xf numFmtId="0" fontId="11" fillId="0" borderId="4" xfId="3" applyFont="1" applyBorder="1" applyAlignment="1">
      <alignment horizontal="left" vertical="center" wrapText="1"/>
    </xf>
    <xf numFmtId="2" fontId="10" fillId="0" borderId="5" xfId="1" applyNumberFormat="1" applyFont="1" applyBorder="1" applyAlignment="1">
      <alignment horizontal="center" vertical="center" wrapText="1"/>
    </xf>
    <xf numFmtId="0" fontId="6" fillId="0" borderId="4" xfId="3" applyFont="1" applyBorder="1" applyAlignment="1">
      <alignment horizontal="center"/>
    </xf>
    <xf numFmtId="4" fontId="5" fillId="2" borderId="6" xfId="1" applyNumberFormat="1" applyFont="1" applyFill="1" applyBorder="1"/>
    <xf numFmtId="4" fontId="13" fillId="0" borderId="7" xfId="5" applyNumberFormat="1" applyFont="1" applyFill="1" applyBorder="1" applyAlignment="1">
      <alignment horizontal="center" vertical="center" wrapText="1"/>
    </xf>
    <xf numFmtId="4" fontId="13" fillId="0" borderId="8" xfId="5" applyNumberFormat="1" applyFont="1" applyFill="1" applyBorder="1" applyAlignment="1">
      <alignment horizontal="center" vertical="center" wrapText="1"/>
    </xf>
    <xf numFmtId="0" fontId="5" fillId="0" borderId="9" xfId="3" applyFont="1" applyBorder="1" applyAlignment="1">
      <alignment horizontal="left"/>
    </xf>
    <xf numFmtId="4" fontId="14" fillId="2" borderId="10" xfId="1" applyNumberFormat="1" applyFont="1" applyFill="1" applyBorder="1" applyAlignment="1">
      <alignment horizontal="center"/>
    </xf>
    <xf numFmtId="4" fontId="13" fillId="0" borderId="5" xfId="5" applyNumberFormat="1" applyFont="1" applyFill="1" applyBorder="1" applyAlignment="1">
      <alignment horizontal="center" vertical="center" wrapText="1"/>
    </xf>
    <xf numFmtId="4" fontId="13" fillId="0" borderId="10" xfId="5" applyNumberFormat="1" applyFont="1" applyFill="1" applyBorder="1" applyAlignment="1">
      <alignment horizontal="center" vertical="center" wrapText="1"/>
    </xf>
    <xf numFmtId="4" fontId="14" fillId="0" borderId="10" xfId="1" applyNumberFormat="1" applyFont="1" applyBorder="1" applyAlignment="1">
      <alignment horizontal="center"/>
    </xf>
    <xf numFmtId="0" fontId="6" fillId="0" borderId="9" xfId="3" applyFont="1" applyBorder="1" applyAlignment="1">
      <alignment horizontal="left"/>
    </xf>
    <xf numFmtId="4" fontId="15" fillId="2" borderId="10" xfId="1" applyNumberFormat="1" applyFont="1" applyFill="1" applyBorder="1" applyAlignment="1">
      <alignment horizontal="center"/>
    </xf>
    <xf numFmtId="0" fontId="1" fillId="0" borderId="11" xfId="1" applyFont="1" applyBorder="1"/>
    <xf numFmtId="2" fontId="1" fillId="3" borderId="11" xfId="1" applyNumberFormat="1" applyFont="1" applyFill="1" applyBorder="1"/>
    <xf numFmtId="4" fontId="15" fillId="0" borderId="10" xfId="1" applyNumberFormat="1" applyFont="1" applyBorder="1" applyAlignment="1">
      <alignment horizontal="center"/>
    </xf>
    <xf numFmtId="0" fontId="5" fillId="0" borderId="11" xfId="3" applyFont="1" applyBorder="1"/>
    <xf numFmtId="0" fontId="6" fillId="0" borderId="9" xfId="3" applyFont="1" applyBorder="1" applyAlignment="1">
      <alignment horizontal="center"/>
    </xf>
    <xf numFmtId="0" fontId="11" fillId="0" borderId="9" xfId="3" applyFont="1" applyBorder="1" applyAlignment="1">
      <alignment horizontal="left" wrapText="1"/>
    </xf>
    <xf numFmtId="4" fontId="16" fillId="2" borderId="10" xfId="1" applyNumberFormat="1" applyFont="1" applyFill="1" applyBorder="1" applyAlignment="1">
      <alignment horizontal="center"/>
    </xf>
    <xf numFmtId="165" fontId="11" fillId="0" borderId="0" xfId="1" applyNumberFormat="1" applyFont="1"/>
    <xf numFmtId="0" fontId="11" fillId="0" borderId="0" xfId="1" applyFont="1"/>
    <xf numFmtId="49" fontId="5" fillId="0" borderId="9" xfId="3" applyNumberFormat="1" applyFont="1" applyBorder="1" applyAlignment="1">
      <alignment horizontal="left" wrapText="1"/>
    </xf>
    <xf numFmtId="0" fontId="18" fillId="2" borderId="1" xfId="1" applyFont="1" applyFill="1" applyBorder="1" applyAlignment="1">
      <alignment wrapText="1"/>
    </xf>
    <xf numFmtId="166" fontId="18" fillId="2" borderId="1" xfId="6" applyFont="1" applyFill="1" applyBorder="1" applyAlignment="1"/>
    <xf numFmtId="0" fontId="18" fillId="2" borderId="1" xfId="1" applyFont="1" applyFill="1" applyBorder="1" applyAlignment="1">
      <alignment horizontal="center" vertical="center"/>
    </xf>
    <xf numFmtId="4" fontId="13" fillId="0" borderId="12" xfId="5" applyNumberFormat="1" applyFont="1" applyFill="1" applyBorder="1" applyAlignment="1">
      <alignment horizontal="center" vertical="center" wrapText="1"/>
    </xf>
    <xf numFmtId="4" fontId="13" fillId="0" borderId="13" xfId="5" applyNumberFormat="1" applyFont="1" applyFill="1" applyBorder="1" applyAlignment="1">
      <alignment horizontal="center" vertical="center" wrapText="1"/>
    </xf>
    <xf numFmtId="49" fontId="5" fillId="0" borderId="9" xfId="3" applyNumberFormat="1" applyFont="1" applyBorder="1" applyAlignment="1">
      <alignment horizontal="left"/>
    </xf>
    <xf numFmtId="0" fontId="5" fillId="0" borderId="10" xfId="1" applyFont="1" applyBorder="1" applyAlignment="1">
      <alignment horizontal="left" vertical="center" wrapText="1"/>
    </xf>
    <xf numFmtId="4" fontId="13" fillId="2" borderId="10" xfId="5" applyNumberFormat="1" applyFont="1" applyFill="1" applyBorder="1" applyAlignment="1">
      <alignment horizontal="center" vertical="center" wrapText="1"/>
    </xf>
    <xf numFmtId="2" fontId="13" fillId="0" borderId="10" xfId="5" applyNumberFormat="1" applyFont="1" applyFill="1" applyBorder="1" applyAlignment="1">
      <alignment horizontal="center" vertical="center" wrapText="1"/>
    </xf>
    <xf numFmtId="4" fontId="13" fillId="2" borderId="10" xfId="1" applyNumberFormat="1" applyFont="1" applyFill="1" applyBorder="1" applyAlignment="1">
      <alignment horizontal="center" vertical="center" wrapText="1"/>
    </xf>
    <xf numFmtId="3" fontId="13" fillId="0" borderId="5" xfId="5" applyNumberFormat="1" applyFont="1" applyFill="1" applyBorder="1" applyAlignment="1">
      <alignment horizontal="center" vertical="center" wrapText="1"/>
    </xf>
    <xf numFmtId="4" fontId="13" fillId="0" borderId="10" xfId="1" applyNumberFormat="1" applyFont="1" applyBorder="1" applyAlignment="1">
      <alignment horizontal="center" vertical="center" wrapText="1"/>
    </xf>
    <xf numFmtId="3" fontId="13" fillId="0" borderId="12" xfId="5" applyNumberFormat="1" applyFont="1" applyFill="1" applyBorder="1" applyAlignment="1">
      <alignment horizontal="center" vertical="center" wrapText="1"/>
    </xf>
    <xf numFmtId="49" fontId="11" fillId="0" borderId="9" xfId="3" applyNumberFormat="1" applyFont="1" applyBorder="1" applyAlignment="1">
      <alignment horizontal="left" wrapText="1"/>
    </xf>
    <xf numFmtId="49" fontId="11" fillId="0" borderId="9" xfId="3" applyNumberFormat="1" applyFont="1" applyBorder="1" applyAlignment="1">
      <alignment horizontal="left" vertical="center" wrapText="1"/>
    </xf>
    <xf numFmtId="49" fontId="5" fillId="0" borderId="9" xfId="4" applyNumberFormat="1" applyFont="1" applyFill="1" applyBorder="1"/>
    <xf numFmtId="49" fontId="5" fillId="0" borderId="9" xfId="1" applyNumberFormat="1" applyFont="1" applyBorder="1"/>
    <xf numFmtId="49" fontId="11" fillId="0" borderId="9" xfId="3" applyNumberFormat="1" applyFont="1" applyBorder="1" applyAlignment="1">
      <alignment horizontal="left"/>
    </xf>
    <xf numFmtId="49" fontId="5" fillId="0" borderId="9" xfId="3" applyNumberFormat="1" applyFont="1" applyBorder="1" applyAlignment="1">
      <alignment horizontal="justify"/>
    </xf>
    <xf numFmtId="49" fontId="11" fillId="0" borderId="9" xfId="3" applyNumberFormat="1" applyFont="1" applyBorder="1" applyAlignment="1">
      <alignment horizontal="justify"/>
    </xf>
    <xf numFmtId="49" fontId="5" fillId="0" borderId="14" xfId="3" applyNumberFormat="1" applyFont="1" applyBorder="1"/>
    <xf numFmtId="4" fontId="14" fillId="2" borderId="13" xfId="1" applyNumberFormat="1" applyFont="1" applyFill="1" applyBorder="1" applyAlignment="1">
      <alignment horizontal="center"/>
    </xf>
    <xf numFmtId="49" fontId="11" fillId="0" borderId="15" xfId="3" applyNumberFormat="1" applyFont="1" applyBorder="1" applyAlignment="1">
      <alignment horizontal="justify"/>
    </xf>
    <xf numFmtId="4" fontId="16" fillId="2" borderId="2" xfId="1" applyNumberFormat="1" applyFont="1" applyFill="1" applyBorder="1" applyAlignment="1">
      <alignment horizontal="center"/>
    </xf>
    <xf numFmtId="4" fontId="13" fillId="0" borderId="16" xfId="5" applyNumberFormat="1" applyFont="1" applyFill="1" applyBorder="1" applyAlignment="1">
      <alignment horizontal="center" vertical="center" wrapText="1"/>
    </xf>
    <xf numFmtId="4" fontId="13" fillId="0" borderId="2" xfId="5" applyNumberFormat="1" applyFont="1" applyFill="1" applyBorder="1" applyAlignment="1">
      <alignment horizontal="center" vertical="center" wrapText="1"/>
    </xf>
    <xf numFmtId="49" fontId="11" fillId="0" borderId="2" xfId="3" applyNumberFormat="1" applyFont="1" applyBorder="1" applyAlignment="1">
      <alignment horizontal="justify"/>
    </xf>
    <xf numFmtId="4" fontId="13" fillId="0" borderId="0" xfId="5" applyNumberFormat="1" applyFont="1" applyFill="1" applyBorder="1" applyAlignment="1">
      <alignment horizontal="center" vertical="center" wrapText="1"/>
    </xf>
    <xf numFmtId="49" fontId="11" fillId="0" borderId="17" xfId="3" applyNumberFormat="1" applyFont="1" applyBorder="1" applyAlignment="1">
      <alignment horizontal="justify"/>
    </xf>
    <xf numFmtId="0" fontId="9" fillId="0" borderId="18" xfId="3" applyFont="1" applyBorder="1" applyAlignment="1">
      <alignment horizontal="left" vertical="center" wrapText="1"/>
    </xf>
    <xf numFmtId="4" fontId="16" fillId="0" borderId="2" xfId="1" applyNumberFormat="1" applyFont="1" applyBorder="1" applyAlignment="1">
      <alignment horizontal="center"/>
    </xf>
    <xf numFmtId="49" fontId="11" fillId="0" borderId="0" xfId="3" applyNumberFormat="1" applyFont="1" applyAlignment="1">
      <alignment horizontal="justify"/>
    </xf>
    <xf numFmtId="4" fontId="16" fillId="2" borderId="0" xfId="1" applyNumberFormat="1" applyFont="1" applyFill="1" applyAlignment="1">
      <alignment horizontal="center"/>
    </xf>
    <xf numFmtId="0" fontId="5" fillId="0" borderId="0" xfId="3" applyFont="1" applyAlignment="1">
      <alignment horizontal="left"/>
    </xf>
    <xf numFmtId="0" fontId="5" fillId="2" borderId="0" xfId="1" applyFont="1" applyFill="1"/>
    <xf numFmtId="0" fontId="5" fillId="2" borderId="0" xfId="1" applyFont="1" applyFill="1" applyAlignment="1">
      <alignment horizontal="left"/>
    </xf>
    <xf numFmtId="0" fontId="5" fillId="0" borderId="0" xfId="1" applyFont="1" applyAlignment="1">
      <alignment horizontal="left"/>
    </xf>
    <xf numFmtId="0" fontId="18" fillId="0" borderId="19" xfId="1" applyFont="1" applyBorder="1" applyAlignment="1">
      <alignment horizontal="left"/>
    </xf>
    <xf numFmtId="2" fontId="18" fillId="2" borderId="10" xfId="6" applyNumberFormat="1" applyFont="1" applyFill="1" applyBorder="1" applyAlignment="1">
      <alignment horizontal="center"/>
    </xf>
    <xf numFmtId="0" fontId="18" fillId="2" borderId="19" xfId="1" applyFont="1" applyFill="1" applyBorder="1" applyAlignment="1">
      <alignment wrapText="1"/>
    </xf>
    <xf numFmtId="166" fontId="18" fillId="2" borderId="10" xfId="6" applyFont="1" applyFill="1" applyBorder="1" applyAlignment="1"/>
    <xf numFmtId="0" fontId="22" fillId="0" borderId="0" xfId="1" applyFont="1"/>
    <xf numFmtId="0" fontId="23" fillId="0" borderId="0" xfId="3" applyFont="1" applyAlignment="1">
      <alignment horizontal="center"/>
    </xf>
    <xf numFmtId="0" fontId="24" fillId="0" borderId="0" xfId="1" applyFont="1"/>
    <xf numFmtId="0" fontId="25" fillId="0" borderId="0" xfId="3" applyFont="1"/>
    <xf numFmtId="0" fontId="28" fillId="0" borderId="2" xfId="3" applyFont="1" applyBorder="1" applyAlignment="1">
      <alignment horizontal="left" vertical="center" wrapText="1"/>
    </xf>
    <xf numFmtId="4" fontId="16" fillId="2" borderId="2" xfId="1" applyNumberFormat="1" applyFont="1" applyFill="1" applyBorder="1" applyAlignment="1">
      <alignment horizontal="center" vertical="center" wrapText="1"/>
    </xf>
    <xf numFmtId="2" fontId="27" fillId="0" borderId="17" xfId="1" applyNumberFormat="1" applyFont="1" applyBorder="1" applyAlignment="1">
      <alignment horizontal="center" vertical="center" wrapText="1"/>
    </xf>
    <xf numFmtId="2" fontId="27" fillId="0" borderId="3" xfId="1" applyNumberFormat="1" applyFont="1" applyBorder="1" applyAlignment="1">
      <alignment horizontal="center" vertical="center" wrapText="1"/>
    </xf>
    <xf numFmtId="0" fontId="28" fillId="0" borderId="4" xfId="3" applyFont="1" applyBorder="1" applyAlignment="1">
      <alignment horizontal="left" vertical="center" wrapText="1"/>
    </xf>
    <xf numFmtId="2" fontId="27" fillId="0" borderId="5" xfId="1" applyNumberFormat="1" applyFont="1" applyBorder="1" applyAlignment="1">
      <alignment horizontal="center" vertical="center" wrapText="1"/>
    </xf>
    <xf numFmtId="0" fontId="23" fillId="0" borderId="4" xfId="3" applyFont="1" applyBorder="1" applyAlignment="1">
      <alignment horizontal="center"/>
    </xf>
    <xf numFmtId="4" fontId="14" fillId="2" borderId="6" xfId="1" applyNumberFormat="1" applyFont="1" applyFill="1" applyBorder="1"/>
    <xf numFmtId="4" fontId="29" fillId="0" borderId="2" xfId="5" applyNumberFormat="1" applyFont="1" applyFill="1" applyBorder="1" applyAlignment="1">
      <alignment horizontal="center" vertical="center" wrapText="1"/>
    </xf>
    <xf numFmtId="4" fontId="29" fillId="0" borderId="7" xfId="5" applyNumberFormat="1" applyFont="1" applyFill="1" applyBorder="1" applyAlignment="1">
      <alignment horizontal="center" vertical="center" wrapText="1"/>
    </xf>
    <xf numFmtId="0" fontId="22" fillId="0" borderId="9" xfId="3" applyFont="1" applyBorder="1" applyAlignment="1">
      <alignment horizontal="left"/>
    </xf>
    <xf numFmtId="4" fontId="29" fillId="0" borderId="10" xfId="5" applyNumberFormat="1" applyFont="1" applyFill="1" applyBorder="1" applyAlignment="1">
      <alignment horizontal="center" vertical="center" wrapText="1"/>
    </xf>
    <xf numFmtId="4" fontId="29" fillId="0" borderId="12" xfId="5" applyNumberFormat="1" applyFont="1" applyFill="1" applyBorder="1" applyAlignment="1">
      <alignment horizontal="center" vertical="center" wrapText="1"/>
    </xf>
    <xf numFmtId="4" fontId="29" fillId="0" borderId="6" xfId="5" applyNumberFormat="1" applyFont="1" applyFill="1" applyBorder="1" applyAlignment="1">
      <alignment horizontal="center" vertical="center" wrapText="1"/>
    </xf>
    <xf numFmtId="4" fontId="29" fillId="0" borderId="5" xfId="5" applyNumberFormat="1" applyFont="1" applyFill="1" applyBorder="1" applyAlignment="1">
      <alignment horizontal="center" vertical="center" wrapText="1"/>
    </xf>
    <xf numFmtId="4" fontId="29" fillId="0" borderId="20" xfId="5" applyNumberFormat="1" applyFont="1" applyFill="1" applyBorder="1" applyAlignment="1">
      <alignment horizontal="center" vertical="center" wrapText="1"/>
    </xf>
    <xf numFmtId="0" fontId="23" fillId="0" borderId="9" xfId="3" applyFont="1" applyBorder="1" applyAlignment="1">
      <alignment horizontal="left"/>
    </xf>
    <xf numFmtId="4" fontId="29" fillId="0" borderId="3" xfId="5" applyNumberFormat="1" applyFont="1" applyFill="1" applyBorder="1" applyAlignment="1">
      <alignment horizontal="center" vertical="center" wrapText="1"/>
    </xf>
    <xf numFmtId="0" fontId="22" fillId="0" borderId="11" xfId="3" applyFont="1" applyBorder="1"/>
    <xf numFmtId="0" fontId="23" fillId="0" borderId="9" xfId="3" applyFont="1" applyBorder="1" applyAlignment="1">
      <alignment horizontal="center"/>
    </xf>
    <xf numFmtId="0" fontId="28" fillId="0" borderId="9" xfId="3" applyFont="1" applyBorder="1" applyAlignment="1">
      <alignment horizontal="left" wrapText="1"/>
    </xf>
    <xf numFmtId="165" fontId="28" fillId="0" borderId="0" xfId="1" applyNumberFormat="1" applyFont="1"/>
    <xf numFmtId="0" fontId="28" fillId="0" borderId="0" xfId="1" applyFont="1"/>
    <xf numFmtId="49" fontId="22" fillId="0" borderId="9" xfId="3" applyNumberFormat="1" applyFont="1" applyBorder="1" applyAlignment="1">
      <alignment horizontal="left" wrapText="1"/>
    </xf>
    <xf numFmtId="4" fontId="14" fillId="4" borderId="10" xfId="1" applyNumberFormat="1" applyFont="1" applyFill="1" applyBorder="1" applyAlignment="1">
      <alignment horizontal="center"/>
    </xf>
    <xf numFmtId="0" fontId="18" fillId="0" borderId="1" xfId="1" applyFont="1" applyBorder="1" applyAlignment="1">
      <alignment horizontal="left"/>
    </xf>
    <xf numFmtId="4" fontId="5" fillId="2" borderId="10" xfId="1" applyNumberFormat="1" applyFont="1" applyFill="1" applyBorder="1" applyAlignment="1">
      <alignment horizontal="center"/>
    </xf>
    <xf numFmtId="4" fontId="29" fillId="0" borderId="13" xfId="5" applyNumberFormat="1" applyFont="1" applyFill="1" applyBorder="1" applyAlignment="1">
      <alignment horizontal="center" vertical="center" wrapText="1"/>
    </xf>
    <xf numFmtId="49" fontId="22" fillId="0" borderId="9" xfId="3" applyNumberFormat="1" applyFont="1" applyBorder="1" applyAlignment="1">
      <alignment horizontal="left"/>
    </xf>
    <xf numFmtId="0" fontId="22" fillId="0" borderId="10" xfId="1" applyFont="1" applyBorder="1" applyAlignment="1">
      <alignment horizontal="left" vertical="center" wrapText="1"/>
    </xf>
    <xf numFmtId="2" fontId="29" fillId="0" borderId="10" xfId="5" applyNumberFormat="1" applyFont="1" applyFill="1" applyBorder="1" applyAlignment="1">
      <alignment horizontal="center" vertical="center" wrapText="1"/>
    </xf>
    <xf numFmtId="4" fontId="14" fillId="2" borderId="10" xfId="1" applyNumberFormat="1" applyFont="1" applyFill="1" applyBorder="1" applyAlignment="1">
      <alignment horizontal="center" vertical="center" wrapText="1"/>
    </xf>
    <xf numFmtId="3" fontId="29" fillId="0" borderId="12" xfId="5" applyNumberFormat="1" applyFont="1" applyFill="1" applyBorder="1" applyAlignment="1">
      <alignment horizontal="center" vertical="center" wrapText="1"/>
    </xf>
    <xf numFmtId="3" fontId="29" fillId="0" borderId="2" xfId="5" applyNumberFormat="1" applyFont="1" applyFill="1" applyBorder="1" applyAlignment="1">
      <alignment horizontal="center" vertical="center" wrapText="1"/>
    </xf>
    <xf numFmtId="3" fontId="29" fillId="0" borderId="3" xfId="5" applyNumberFormat="1" applyFont="1" applyFill="1" applyBorder="1" applyAlignment="1">
      <alignment horizontal="center" vertical="center" wrapText="1"/>
    </xf>
    <xf numFmtId="49" fontId="28" fillId="0" borderId="9" xfId="3" applyNumberFormat="1" applyFont="1" applyBorder="1" applyAlignment="1">
      <alignment horizontal="left" wrapText="1"/>
    </xf>
    <xf numFmtId="4" fontId="29" fillId="0" borderId="21" xfId="5" applyNumberFormat="1" applyFont="1" applyFill="1" applyBorder="1" applyAlignment="1">
      <alignment horizontal="center" vertical="center" wrapText="1"/>
    </xf>
    <xf numFmtId="49" fontId="28" fillId="0" borderId="9" xfId="3" applyNumberFormat="1" applyFont="1" applyBorder="1" applyAlignment="1">
      <alignment horizontal="left" vertical="center" wrapText="1"/>
    </xf>
    <xf numFmtId="49" fontId="22" fillId="0" borderId="9" xfId="4" applyNumberFormat="1" applyFont="1" applyFill="1" applyBorder="1" applyAlignment="1">
      <alignment wrapText="1"/>
    </xf>
    <xf numFmtId="49" fontId="22" fillId="0" borderId="9" xfId="1" applyNumberFormat="1" applyFont="1" applyBorder="1"/>
    <xf numFmtId="49" fontId="28" fillId="0" borderId="9" xfId="3" applyNumberFormat="1" applyFont="1" applyBorder="1" applyAlignment="1">
      <alignment horizontal="left"/>
    </xf>
    <xf numFmtId="49" fontId="22" fillId="0" borderId="9" xfId="3" applyNumberFormat="1" applyFont="1" applyBorder="1" applyAlignment="1">
      <alignment horizontal="justify"/>
    </xf>
    <xf numFmtId="49" fontId="28" fillId="0" borderId="9" xfId="3" applyNumberFormat="1" applyFont="1" applyBorder="1" applyAlignment="1">
      <alignment horizontal="justify"/>
    </xf>
    <xf numFmtId="49" fontId="22" fillId="0" borderId="14" xfId="3" applyNumberFormat="1" applyFont="1" applyBorder="1"/>
    <xf numFmtId="49" fontId="28" fillId="0" borderId="15" xfId="3" applyNumberFormat="1" applyFont="1" applyBorder="1" applyAlignment="1">
      <alignment horizontal="justify"/>
    </xf>
    <xf numFmtId="4" fontId="29" fillId="0" borderId="16" xfId="5" applyNumberFormat="1" applyFont="1" applyFill="1" applyBorder="1" applyAlignment="1">
      <alignment horizontal="center" vertical="center" wrapText="1"/>
    </xf>
    <xf numFmtId="49" fontId="28" fillId="0" borderId="2" xfId="3" applyNumberFormat="1" applyFont="1" applyBorder="1" applyAlignment="1">
      <alignment horizontal="justify"/>
    </xf>
    <xf numFmtId="4" fontId="29" fillId="0" borderId="22" xfId="5" applyNumberFormat="1" applyFont="1" applyFill="1" applyBorder="1" applyAlignment="1">
      <alignment horizontal="center" vertical="center" wrapText="1"/>
    </xf>
    <xf numFmtId="4" fontId="29" fillId="0" borderId="0" xfId="5" applyNumberFormat="1" applyFont="1" applyFill="1" applyBorder="1" applyAlignment="1">
      <alignment horizontal="center" vertical="center" wrapText="1"/>
    </xf>
    <xf numFmtId="49" fontId="28" fillId="0" borderId="17" xfId="3" applyNumberFormat="1" applyFont="1" applyBorder="1" applyAlignment="1">
      <alignment horizontal="justify"/>
    </xf>
    <xf numFmtId="4" fontId="29" fillId="0" borderId="17" xfId="5" applyNumberFormat="1" applyFont="1" applyFill="1" applyBorder="1" applyAlignment="1">
      <alignment horizontal="center" vertical="center" wrapText="1"/>
    </xf>
    <xf numFmtId="0" fontId="28" fillId="0" borderId="18" xfId="3" applyFont="1" applyBorder="1" applyAlignment="1">
      <alignment horizontal="left" vertical="center" wrapText="1"/>
    </xf>
    <xf numFmtId="49" fontId="28" fillId="0" borderId="0" xfId="3" applyNumberFormat="1" applyFont="1" applyAlignment="1">
      <alignment horizontal="justify"/>
    </xf>
    <xf numFmtId="0" fontId="22" fillId="0" borderId="0" xfId="3" applyFont="1" applyAlignment="1">
      <alignment horizontal="left"/>
    </xf>
    <xf numFmtId="0" fontId="22" fillId="0" borderId="0" xfId="1" applyFont="1" applyAlignment="1">
      <alignment horizontal="left"/>
    </xf>
    <xf numFmtId="0" fontId="23" fillId="2" borderId="0" xfId="3" applyFont="1" applyFill="1" applyAlignment="1">
      <alignment horizontal="center"/>
    </xf>
    <xf numFmtId="0" fontId="23" fillId="2" borderId="0" xfId="3" applyFont="1" applyFill="1"/>
    <xf numFmtId="0" fontId="5" fillId="0" borderId="1" xfId="1" applyFont="1" applyBorder="1" applyAlignment="1">
      <alignment horizontal="left"/>
    </xf>
    <xf numFmtId="166" fontId="5" fillId="2" borderId="1" xfId="6" applyFont="1" applyFill="1" applyBorder="1" applyAlignment="1">
      <alignment horizontal="center"/>
    </xf>
    <xf numFmtId="166" fontId="18" fillId="2" borderId="1" xfId="6" applyFont="1" applyFill="1" applyBorder="1" applyAlignment="1">
      <alignment horizontal="center"/>
    </xf>
    <xf numFmtId="2" fontId="18" fillId="2" borderId="1" xfId="6" applyNumberFormat="1" applyFont="1" applyFill="1" applyBorder="1" applyAlignment="1">
      <alignment horizontal="center"/>
    </xf>
    <xf numFmtId="0" fontId="18" fillId="2" borderId="1" xfId="1" applyFont="1" applyFill="1" applyBorder="1" applyAlignment="1">
      <alignment horizontal="left" wrapText="1"/>
    </xf>
    <xf numFmtId="0" fontId="5" fillId="0" borderId="9" xfId="1" applyFont="1" applyBorder="1" applyAlignment="1">
      <alignment horizontal="left" vertical="center" wrapText="1"/>
    </xf>
    <xf numFmtId="4" fontId="30" fillId="2" borderId="2" xfId="1" applyNumberFormat="1" applyFont="1" applyFill="1" applyBorder="1" applyAlignment="1">
      <alignment horizontal="center" vertical="center" wrapText="1"/>
    </xf>
    <xf numFmtId="4" fontId="31" fillId="2" borderId="10" xfId="1" applyNumberFormat="1" applyFont="1" applyFill="1" applyBorder="1" applyAlignment="1">
      <alignment horizontal="center"/>
    </xf>
    <xf numFmtId="4" fontId="32" fillId="2" borderId="10" xfId="1" applyNumberFormat="1" applyFont="1" applyFill="1" applyBorder="1" applyAlignment="1">
      <alignment horizontal="center"/>
    </xf>
    <xf numFmtId="4" fontId="31" fillId="0" borderId="10" xfId="1" applyNumberFormat="1" applyFont="1" applyBorder="1" applyAlignment="1">
      <alignment horizontal="center"/>
    </xf>
    <xf numFmtId="4" fontId="31" fillId="2" borderId="10" xfId="1" applyNumberFormat="1" applyFont="1" applyFill="1" applyBorder="1" applyAlignment="1">
      <alignment horizontal="center" vertical="center" wrapText="1"/>
    </xf>
    <xf numFmtId="0" fontId="28" fillId="2" borderId="2" xfId="3" applyFont="1" applyFill="1" applyBorder="1" applyAlignment="1">
      <alignment horizontal="left" vertical="center" wrapText="1"/>
    </xf>
    <xf numFmtId="0" fontId="28" fillId="2" borderId="4" xfId="3" applyFont="1" applyFill="1" applyBorder="1" applyAlignment="1">
      <alignment horizontal="left" vertical="center" wrapText="1"/>
    </xf>
    <xf numFmtId="0" fontId="23" fillId="2" borderId="4" xfId="3" applyFont="1" applyFill="1" applyBorder="1" applyAlignment="1">
      <alignment horizontal="center"/>
    </xf>
    <xf numFmtId="0" fontId="22" fillId="2" borderId="9" xfId="3" applyFont="1" applyFill="1" applyBorder="1" applyAlignment="1">
      <alignment horizontal="left"/>
    </xf>
    <xf numFmtId="0" fontId="23" fillId="2" borderId="9" xfId="3" applyFont="1" applyFill="1" applyBorder="1" applyAlignment="1">
      <alignment horizontal="left"/>
    </xf>
    <xf numFmtId="0" fontId="22" fillId="2" borderId="11" xfId="3" applyFont="1" applyFill="1" applyBorder="1"/>
    <xf numFmtId="0" fontId="23" fillId="2" borderId="9" xfId="3" applyFont="1" applyFill="1" applyBorder="1" applyAlignment="1">
      <alignment horizontal="center"/>
    </xf>
    <xf numFmtId="0" fontId="28" fillId="2" borderId="9" xfId="3" applyFont="1" applyFill="1" applyBorder="1" applyAlignment="1">
      <alignment horizontal="left" wrapText="1"/>
    </xf>
    <xf numFmtId="49" fontId="22" fillId="2" borderId="9" xfId="3" applyNumberFormat="1" applyFont="1" applyFill="1" applyBorder="1" applyAlignment="1">
      <alignment horizontal="left" wrapText="1"/>
    </xf>
    <xf numFmtId="0" fontId="33" fillId="2" borderId="1" xfId="1" applyFont="1" applyFill="1" applyBorder="1" applyAlignment="1">
      <alignment horizontal="left"/>
    </xf>
    <xf numFmtId="2" fontId="33" fillId="2" borderId="1" xfId="6" applyNumberFormat="1" applyFont="1" applyFill="1" applyBorder="1" applyAlignment="1">
      <alignment horizontal="center"/>
    </xf>
    <xf numFmtId="49" fontId="22" fillId="2" borderId="9" xfId="3" applyNumberFormat="1" applyFont="1" applyFill="1" applyBorder="1" applyAlignment="1">
      <alignment horizontal="left"/>
    </xf>
    <xf numFmtId="0" fontId="22" fillId="2" borderId="10" xfId="1" applyFont="1" applyFill="1" applyBorder="1" applyAlignment="1">
      <alignment horizontal="left" vertical="center" wrapText="1"/>
    </xf>
    <xf numFmtId="49" fontId="28" fillId="2" borderId="9" xfId="3" applyNumberFormat="1" applyFont="1" applyFill="1" applyBorder="1" applyAlignment="1">
      <alignment horizontal="left" wrapText="1"/>
    </xf>
    <xf numFmtId="49" fontId="5" fillId="2" borderId="9" xfId="3" applyNumberFormat="1" applyFont="1" applyFill="1" applyBorder="1" applyAlignment="1">
      <alignment horizontal="left"/>
    </xf>
    <xf numFmtId="49" fontId="28" fillId="2" borderId="9" xfId="3" applyNumberFormat="1" applyFont="1" applyFill="1" applyBorder="1" applyAlignment="1">
      <alignment horizontal="left" vertical="center" wrapText="1"/>
    </xf>
    <xf numFmtId="49" fontId="22" fillId="2" borderId="9" xfId="4" applyNumberFormat="1" applyFont="1" applyFill="1" applyBorder="1" applyAlignment="1">
      <alignment wrapText="1"/>
    </xf>
    <xf numFmtId="49" fontId="5" fillId="2" borderId="9" xfId="4" applyNumberFormat="1" applyFont="1" applyFill="1" applyBorder="1"/>
    <xf numFmtId="49" fontId="22" fillId="2" borderId="9" xfId="1" applyNumberFormat="1" applyFont="1" applyFill="1" applyBorder="1"/>
    <xf numFmtId="49" fontId="28" fillId="2" borderId="9" xfId="3" applyNumberFormat="1" applyFont="1" applyFill="1" applyBorder="1" applyAlignment="1">
      <alignment horizontal="left"/>
    </xf>
    <xf numFmtId="49" fontId="22" fillId="2" borderId="9" xfId="3" applyNumberFormat="1" applyFont="1" applyFill="1" applyBorder="1" applyAlignment="1">
      <alignment horizontal="justify"/>
    </xf>
    <xf numFmtId="49" fontId="28" fillId="2" borderId="9" xfId="3" applyNumberFormat="1" applyFont="1" applyFill="1" applyBorder="1" applyAlignment="1">
      <alignment horizontal="justify"/>
    </xf>
    <xf numFmtId="49" fontId="22" fillId="2" borderId="14" xfId="3" applyNumberFormat="1" applyFont="1" applyFill="1" applyBorder="1"/>
    <xf numFmtId="49" fontId="28" fillId="2" borderId="15" xfId="3" applyNumberFormat="1" applyFont="1" applyFill="1" applyBorder="1" applyAlignment="1">
      <alignment horizontal="justify"/>
    </xf>
    <xf numFmtId="49" fontId="28" fillId="2" borderId="2" xfId="3" applyNumberFormat="1" applyFont="1" applyFill="1" applyBorder="1" applyAlignment="1">
      <alignment horizontal="justify"/>
    </xf>
    <xf numFmtId="49" fontId="28" fillId="2" borderId="17" xfId="3" applyNumberFormat="1" applyFont="1" applyFill="1" applyBorder="1" applyAlignment="1">
      <alignment horizontal="justify"/>
    </xf>
    <xf numFmtId="0" fontId="28" fillId="2" borderId="18" xfId="3" applyFont="1" applyFill="1" applyBorder="1" applyAlignment="1">
      <alignment horizontal="left" vertical="center" wrapText="1"/>
    </xf>
    <xf numFmtId="49" fontId="28" fillId="2" borderId="0" xfId="3" applyNumberFormat="1" applyFont="1" applyFill="1" applyAlignment="1">
      <alignment horizontal="justify"/>
    </xf>
    <xf numFmtId="0" fontId="22" fillId="2" borderId="0" xfId="3" applyFont="1" applyFill="1" applyAlignment="1">
      <alignment horizontal="left"/>
    </xf>
    <xf numFmtId="166" fontId="33" fillId="2" borderId="1" xfId="6" applyFont="1" applyFill="1" applyBorder="1" applyAlignment="1"/>
    <xf numFmtId="0" fontId="11" fillId="2" borderId="2" xfId="3" applyFont="1" applyFill="1" applyBorder="1" applyAlignment="1">
      <alignment horizontal="left" vertical="center" wrapText="1"/>
    </xf>
    <xf numFmtId="0" fontId="11" fillId="2" borderId="4" xfId="3" applyFont="1" applyFill="1" applyBorder="1" applyAlignment="1">
      <alignment horizontal="left" vertical="center" wrapText="1"/>
    </xf>
    <xf numFmtId="0" fontId="6" fillId="2" borderId="4" xfId="3" applyFont="1" applyFill="1" applyBorder="1" applyAlignment="1">
      <alignment horizontal="center"/>
    </xf>
    <xf numFmtId="0" fontId="5" fillId="2" borderId="9" xfId="3" applyFont="1" applyFill="1" applyBorder="1" applyAlignment="1">
      <alignment horizontal="left"/>
    </xf>
    <xf numFmtId="0" fontId="6" fillId="2" borderId="9" xfId="3" applyFont="1" applyFill="1" applyBorder="1" applyAlignment="1">
      <alignment horizontal="left"/>
    </xf>
    <xf numFmtId="0" fontId="5" fillId="2" borderId="11" xfId="3" applyFont="1" applyFill="1" applyBorder="1"/>
    <xf numFmtId="0" fontId="6" fillId="2" borderId="9" xfId="3" applyFont="1" applyFill="1" applyBorder="1" applyAlignment="1">
      <alignment horizontal="center"/>
    </xf>
    <xf numFmtId="0" fontId="11" fillId="2" borderId="9" xfId="3" applyFont="1" applyFill="1" applyBorder="1" applyAlignment="1">
      <alignment horizontal="left" wrapText="1"/>
    </xf>
    <xf numFmtId="49" fontId="5" fillId="2" borderId="9" xfId="3" applyNumberFormat="1" applyFont="1" applyFill="1" applyBorder="1" applyAlignment="1">
      <alignment horizontal="left" wrapText="1"/>
    </xf>
    <xf numFmtId="0" fontId="5" fillId="2" borderId="10" xfId="1" applyFont="1" applyFill="1" applyBorder="1" applyAlignment="1">
      <alignment horizontal="left" vertical="center" wrapText="1"/>
    </xf>
    <xf numFmtId="49" fontId="11" fillId="2" borderId="9" xfId="3" applyNumberFormat="1" applyFont="1" applyFill="1" applyBorder="1" applyAlignment="1">
      <alignment horizontal="left" wrapText="1"/>
    </xf>
    <xf numFmtId="49" fontId="11" fillId="2" borderId="9" xfId="3" applyNumberFormat="1" applyFont="1" applyFill="1" applyBorder="1" applyAlignment="1">
      <alignment horizontal="left" vertical="center" wrapText="1"/>
    </xf>
    <xf numFmtId="49" fontId="5" fillId="2" borderId="9" xfId="1" applyNumberFormat="1" applyFont="1" applyFill="1" applyBorder="1"/>
    <xf numFmtId="49" fontId="11" fillId="2" borderId="9" xfId="3" applyNumberFormat="1" applyFont="1" applyFill="1" applyBorder="1" applyAlignment="1">
      <alignment horizontal="left"/>
    </xf>
    <xf numFmtId="49" fontId="5" fillId="2" borderId="9" xfId="3" applyNumberFormat="1" applyFont="1" applyFill="1" applyBorder="1" applyAlignment="1">
      <alignment horizontal="justify"/>
    </xf>
    <xf numFmtId="49" fontId="11" fillId="2" borderId="9" xfId="3" applyNumberFormat="1" applyFont="1" applyFill="1" applyBorder="1" applyAlignment="1">
      <alignment horizontal="justify"/>
    </xf>
    <xf numFmtId="49" fontId="5" fillId="2" borderId="14" xfId="3" applyNumberFormat="1" applyFont="1" applyFill="1" applyBorder="1"/>
    <xf numFmtId="49" fontId="11" fillId="2" borderId="15" xfId="3" applyNumberFormat="1" applyFont="1" applyFill="1" applyBorder="1" applyAlignment="1">
      <alignment horizontal="justify"/>
    </xf>
    <xf numFmtId="49" fontId="11" fillId="2" borderId="2" xfId="3" applyNumberFormat="1" applyFont="1" applyFill="1" applyBorder="1" applyAlignment="1">
      <alignment horizontal="justify"/>
    </xf>
    <xf numFmtId="49" fontId="11" fillId="2" borderId="17" xfId="3" applyNumberFormat="1" applyFont="1" applyFill="1" applyBorder="1" applyAlignment="1">
      <alignment horizontal="justify"/>
    </xf>
    <xf numFmtId="0" fontId="9" fillId="2" borderId="18" xfId="3" applyFont="1" applyFill="1" applyBorder="1" applyAlignment="1">
      <alignment horizontal="left" vertical="center" wrapText="1"/>
    </xf>
    <xf numFmtId="49" fontId="11" fillId="2" borderId="0" xfId="3" applyNumberFormat="1" applyFont="1" applyFill="1" applyAlignment="1">
      <alignment horizontal="justify"/>
    </xf>
    <xf numFmtId="0" fontId="5" fillId="2" borderId="0" xfId="3" applyFont="1" applyFill="1" applyAlignment="1">
      <alignment horizontal="left"/>
    </xf>
    <xf numFmtId="166" fontId="5" fillId="0" borderId="1" xfId="6" applyFont="1" applyFill="1" applyBorder="1" applyAlignment="1">
      <alignment horizontal="center"/>
    </xf>
    <xf numFmtId="2" fontId="18" fillId="0" borderId="1" xfId="6" applyNumberFormat="1" applyFont="1" applyFill="1" applyBorder="1" applyAlignment="1">
      <alignment horizontal="center"/>
    </xf>
    <xf numFmtId="166" fontId="18" fillId="0" borderId="1" xfId="6" applyFont="1" applyFill="1" applyBorder="1" applyAlignment="1">
      <alignment horizontal="center"/>
    </xf>
    <xf numFmtId="0" fontId="18" fillId="2" borderId="1" xfId="1" applyFont="1" applyFill="1" applyBorder="1" applyAlignment="1">
      <alignment horizontal="left"/>
    </xf>
    <xf numFmtId="0" fontId="5" fillId="2" borderId="1" xfId="1" applyFont="1" applyFill="1" applyBorder="1" applyAlignment="1">
      <alignment horizontal="left"/>
    </xf>
    <xf numFmtId="0" fontId="8" fillId="2" borderId="0" xfId="3" applyFont="1" applyFill="1"/>
    <xf numFmtId="4" fontId="16" fillId="0" borderId="10" xfId="1" applyNumberFormat="1" applyFont="1" applyBorder="1" applyAlignment="1">
      <alignment horizontal="center"/>
    </xf>
    <xf numFmtId="0" fontId="34" fillId="0" borderId="8" xfId="3" applyFont="1" applyBorder="1" applyAlignment="1">
      <alignment horizontal="left" vertical="center" wrapText="1"/>
    </xf>
    <xf numFmtId="4" fontId="16" fillId="0" borderId="2" xfId="1" applyNumberFormat="1" applyFont="1" applyBorder="1" applyAlignment="1">
      <alignment horizontal="center" vertical="center" wrapText="1"/>
    </xf>
    <xf numFmtId="2" fontId="35" fillId="0" borderId="3" xfId="1" applyNumberFormat="1" applyFont="1" applyBorder="1" applyAlignment="1">
      <alignment horizontal="center" vertical="center" wrapText="1"/>
    </xf>
    <xf numFmtId="0" fontId="18" fillId="0" borderId="0" xfId="1" applyFont="1"/>
    <xf numFmtId="0" fontId="34" fillId="0" borderId="10" xfId="3" applyFont="1" applyBorder="1" applyAlignment="1">
      <alignment horizontal="left" vertical="center" wrapText="1"/>
    </xf>
    <xf numFmtId="4" fontId="16" fillId="0" borderId="16" xfId="1" applyNumberFormat="1" applyFont="1" applyBorder="1" applyAlignment="1">
      <alignment horizontal="center" vertical="center" wrapText="1"/>
    </xf>
    <xf numFmtId="2" fontId="35" fillId="0" borderId="5" xfId="1" applyNumberFormat="1" applyFont="1" applyBorder="1" applyAlignment="1">
      <alignment horizontal="center" vertical="center" wrapText="1"/>
    </xf>
    <xf numFmtId="0" fontId="6" fillId="0" borderId="8" xfId="3" applyFont="1" applyBorder="1" applyAlignment="1">
      <alignment horizontal="center"/>
    </xf>
    <xf numFmtId="4" fontId="14" fillId="0" borderId="6" xfId="1" applyNumberFormat="1" applyFont="1" applyBorder="1"/>
    <xf numFmtId="4" fontId="13" fillId="2" borderId="5" xfId="5" applyNumberFormat="1" applyFont="1" applyFill="1" applyBorder="1" applyAlignment="1">
      <alignment horizontal="center" vertical="center" wrapText="1"/>
    </xf>
    <xf numFmtId="0" fontId="5" fillId="0" borderId="10" xfId="3" applyFont="1" applyBorder="1" applyAlignment="1">
      <alignment horizontal="left"/>
    </xf>
    <xf numFmtId="0" fontId="6" fillId="0" borderId="10" xfId="3" applyFont="1" applyBorder="1" applyAlignment="1">
      <alignment horizontal="left"/>
    </xf>
    <xf numFmtId="0" fontId="5" fillId="0" borderId="22" xfId="3" applyFont="1" applyBorder="1"/>
    <xf numFmtId="0" fontId="6" fillId="0" borderId="10" xfId="3" applyFont="1" applyBorder="1" applyAlignment="1">
      <alignment horizontal="center"/>
    </xf>
    <xf numFmtId="0" fontId="11" fillId="0" borderId="10" xfId="3" applyFont="1" applyBorder="1" applyAlignment="1">
      <alignment horizontal="left" wrapText="1"/>
    </xf>
    <xf numFmtId="49" fontId="5" fillId="0" borderId="10" xfId="3" applyNumberFormat="1" applyFont="1" applyBorder="1" applyAlignment="1">
      <alignment horizontal="left" wrapText="1"/>
    </xf>
    <xf numFmtId="49" fontId="5" fillId="2" borderId="10" xfId="3" applyNumberFormat="1" applyFont="1" applyFill="1" applyBorder="1" applyAlignment="1">
      <alignment horizontal="left" wrapText="1"/>
    </xf>
    <xf numFmtId="49" fontId="5" fillId="0" borderId="10" xfId="3" applyNumberFormat="1" applyFont="1" applyBorder="1" applyAlignment="1">
      <alignment horizontal="left"/>
    </xf>
    <xf numFmtId="4" fontId="5" fillId="0" borderId="0" xfId="1" applyNumberFormat="1" applyFont="1"/>
    <xf numFmtId="0" fontId="5" fillId="2" borderId="9" xfId="1" applyFont="1" applyFill="1" applyBorder="1" applyAlignment="1">
      <alignment horizontal="left" vertical="center" wrapText="1"/>
    </xf>
    <xf numFmtId="4" fontId="14" fillId="0" borderId="10" xfId="1" applyNumberFormat="1" applyFont="1" applyBorder="1" applyAlignment="1">
      <alignment horizontal="center" vertical="center" wrapText="1"/>
    </xf>
    <xf numFmtId="49" fontId="11" fillId="0" borderId="10" xfId="3" applyNumberFormat="1" applyFont="1" applyBorder="1" applyAlignment="1">
      <alignment horizontal="left" wrapText="1"/>
    </xf>
    <xf numFmtId="4" fontId="13" fillId="2" borderId="12" xfId="5" applyNumberFormat="1" applyFont="1" applyFill="1" applyBorder="1" applyAlignment="1">
      <alignment horizontal="center" vertical="center" wrapText="1"/>
    </xf>
    <xf numFmtId="4" fontId="14" fillId="0" borderId="5" xfId="1" applyNumberFormat="1" applyFont="1" applyBorder="1" applyAlignment="1">
      <alignment horizontal="center"/>
    </xf>
    <xf numFmtId="49" fontId="11" fillId="0" borderId="10" xfId="3" applyNumberFormat="1" applyFont="1" applyBorder="1" applyAlignment="1">
      <alignment horizontal="left" vertical="center" wrapText="1"/>
    </xf>
    <xf numFmtId="49" fontId="5" fillId="0" borderId="10" xfId="4" applyNumberFormat="1" applyFont="1" applyFill="1" applyBorder="1"/>
    <xf numFmtId="49" fontId="5" fillId="0" borderId="10" xfId="1" applyNumberFormat="1" applyFont="1" applyBorder="1"/>
    <xf numFmtId="49" fontId="11" fillId="0" borderId="10" xfId="3" applyNumberFormat="1" applyFont="1" applyBorder="1" applyAlignment="1">
      <alignment horizontal="left"/>
    </xf>
    <xf numFmtId="49" fontId="5" fillId="0" borderId="10" xfId="3" applyNumberFormat="1" applyFont="1" applyBorder="1" applyAlignment="1">
      <alignment horizontal="justify"/>
    </xf>
    <xf numFmtId="49" fontId="11" fillId="0" borderId="10" xfId="3" applyNumberFormat="1" applyFont="1" applyBorder="1" applyAlignment="1">
      <alignment horizontal="justify"/>
    </xf>
    <xf numFmtId="49" fontId="5" fillId="0" borderId="13" xfId="3" applyNumberFormat="1" applyFont="1" applyBorder="1"/>
    <xf numFmtId="4" fontId="14" fillId="0" borderId="13" xfId="1" applyNumberFormat="1" applyFont="1" applyBorder="1" applyAlignment="1">
      <alignment horizontal="center"/>
    </xf>
    <xf numFmtId="0" fontId="11" fillId="0" borderId="18" xfId="3" applyFont="1" applyBorder="1" applyAlignment="1">
      <alignment horizontal="left" vertical="center" wrapText="1"/>
    </xf>
    <xf numFmtId="4" fontId="16" fillId="0" borderId="0" xfId="1" applyNumberFormat="1" applyFont="1" applyAlignment="1">
      <alignment horizontal="center"/>
    </xf>
    <xf numFmtId="4" fontId="36" fillId="0" borderId="16" xfId="1" applyNumberFormat="1" applyFont="1" applyBorder="1" applyAlignment="1">
      <alignment horizontal="center" vertical="center" wrapText="1"/>
    </xf>
    <xf numFmtId="4" fontId="13" fillId="0" borderId="9" xfId="5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3" fontId="13" fillId="2" borderId="5" xfId="5" applyNumberFormat="1" applyFont="1" applyFill="1" applyBorder="1" applyAlignment="1">
      <alignment horizontal="center" vertical="center" wrapText="1"/>
    </xf>
    <xf numFmtId="3" fontId="13" fillId="2" borderId="12" xfId="5" applyNumberFormat="1" applyFont="1" applyFill="1" applyBorder="1" applyAlignment="1">
      <alignment horizontal="center" vertical="center" wrapText="1"/>
    </xf>
    <xf numFmtId="166" fontId="33" fillId="0" borderId="10" xfId="6" applyFont="1" applyFill="1" applyBorder="1" applyAlignment="1">
      <alignment horizontal="center"/>
    </xf>
    <xf numFmtId="0" fontId="33" fillId="0" borderId="10" xfId="1" applyFont="1" applyBorder="1" applyAlignment="1">
      <alignment horizontal="left"/>
    </xf>
    <xf numFmtId="0" fontId="33" fillId="0" borderId="1" xfId="1" applyFont="1" applyBorder="1" applyAlignment="1">
      <alignment horizontal="left"/>
    </xf>
    <xf numFmtId="0" fontId="33" fillId="0" borderId="10" xfId="1" applyFont="1" applyBorder="1" applyAlignment="1">
      <alignment wrapText="1"/>
    </xf>
    <xf numFmtId="166" fontId="33" fillId="0" borderId="10" xfId="6" applyFont="1" applyFill="1" applyBorder="1" applyAlignment="1"/>
    <xf numFmtId="166" fontId="33" fillId="0" borderId="1" xfId="6" applyFont="1" applyFill="1" applyBorder="1" applyAlignment="1">
      <alignment horizontal="center"/>
    </xf>
    <xf numFmtId="166" fontId="33" fillId="2" borderId="1" xfId="6" applyFont="1" applyFill="1" applyBorder="1" applyAlignment="1">
      <alignment horizontal="center"/>
    </xf>
    <xf numFmtId="4" fontId="15" fillId="0" borderId="5" xfId="1" applyNumberFormat="1" applyFont="1" applyBorder="1" applyAlignment="1">
      <alignment horizontal="center"/>
    </xf>
    <xf numFmtId="2" fontId="1" fillId="0" borderId="11" xfId="1" applyNumberFormat="1" applyFont="1" applyBorder="1"/>
    <xf numFmtId="0" fontId="18" fillId="0" borderId="10" xfId="1" applyFont="1" applyBorder="1" applyAlignment="1">
      <alignment horizontal="left"/>
    </xf>
    <xf numFmtId="166" fontId="18" fillId="0" borderId="10" xfId="6" applyFont="1" applyBorder="1" applyAlignment="1"/>
    <xf numFmtId="166" fontId="18" fillId="2" borderId="10" xfId="6" applyFont="1" applyFill="1" applyBorder="1" applyAlignment="1">
      <alignment horizontal="center"/>
    </xf>
    <xf numFmtId="166" fontId="18" fillId="0" borderId="10" xfId="6" applyFont="1" applyFill="1" applyBorder="1" applyAlignment="1">
      <alignment horizontal="center"/>
    </xf>
    <xf numFmtId="4" fontId="14" fillId="4" borderId="10" xfId="1" applyNumberFormat="1" applyFont="1" applyFill="1" applyBorder="1" applyAlignment="1">
      <alignment horizontal="center" vertical="center" wrapText="1"/>
    </xf>
    <xf numFmtId="4" fontId="5" fillId="0" borderId="10" xfId="1" applyNumberFormat="1" applyFont="1" applyBorder="1" applyAlignment="1">
      <alignment horizontal="center"/>
    </xf>
    <xf numFmtId="0" fontId="11" fillId="2" borderId="10" xfId="3" applyFont="1" applyFill="1" applyBorder="1" applyAlignment="1">
      <alignment horizontal="left" wrapText="1"/>
    </xf>
    <xf numFmtId="4" fontId="16" fillId="0" borderId="5" xfId="1" applyNumberFormat="1" applyFont="1" applyBorder="1" applyAlignment="1">
      <alignment horizontal="center"/>
    </xf>
    <xf numFmtId="4" fontId="16" fillId="0" borderId="16" xfId="1" applyNumberFormat="1" applyFont="1" applyBorder="1" applyAlignment="1">
      <alignment horizontal="center"/>
    </xf>
    <xf numFmtId="0" fontId="11" fillId="0" borderId="22" xfId="3" applyFont="1" applyBorder="1" applyAlignment="1">
      <alignment horizontal="left" vertical="center" wrapText="1"/>
    </xf>
    <xf numFmtId="4" fontId="16" fillId="0" borderId="21" xfId="1" applyNumberFormat="1" applyFont="1" applyBorder="1" applyAlignment="1">
      <alignment horizontal="center"/>
    </xf>
    <xf numFmtId="4" fontId="37" fillId="2" borderId="5" xfId="5" applyNumberFormat="1" applyFont="1" applyFill="1" applyBorder="1" applyAlignment="1">
      <alignment horizontal="center" vertical="center" wrapText="1"/>
    </xf>
    <xf numFmtId="4" fontId="37" fillId="0" borderId="10" xfId="5" applyNumberFormat="1" applyFont="1" applyFill="1" applyBorder="1" applyAlignment="1">
      <alignment horizontal="center" vertical="center" wrapText="1"/>
    </xf>
    <xf numFmtId="0" fontId="38" fillId="0" borderId="0" xfId="1" applyFont="1"/>
    <xf numFmtId="2" fontId="15" fillId="0" borderId="10" xfId="1" applyNumberFormat="1" applyFont="1" applyBorder="1" applyAlignment="1">
      <alignment horizontal="center"/>
    </xf>
    <xf numFmtId="4" fontId="22" fillId="0" borderId="0" xfId="1" applyNumberFormat="1" applyFont="1"/>
    <xf numFmtId="49" fontId="22" fillId="0" borderId="10" xfId="1" applyNumberFormat="1" applyFont="1" applyBorder="1"/>
    <xf numFmtId="4" fontId="37" fillId="0" borderId="5" xfId="5" applyNumberFormat="1" applyFont="1" applyFill="1" applyBorder="1" applyAlignment="1">
      <alignment horizontal="center" vertical="center" wrapText="1"/>
    </xf>
    <xf numFmtId="166" fontId="40" fillId="0" borderId="22" xfId="6" applyFont="1" applyFill="1" applyBorder="1" applyAlignment="1">
      <alignment horizontal="center"/>
    </xf>
    <xf numFmtId="166" fontId="15" fillId="0" borderId="10" xfId="6" applyFont="1" applyFill="1" applyBorder="1" applyAlignment="1">
      <alignment horizontal="center"/>
    </xf>
    <xf numFmtId="0" fontId="18" fillId="0" borderId="10" xfId="1" applyFont="1" applyBorder="1" applyAlignment="1">
      <alignment wrapText="1"/>
    </xf>
    <xf numFmtId="166" fontId="18" fillId="0" borderId="10" xfId="6" applyFont="1" applyFill="1" applyBorder="1" applyAlignment="1"/>
    <xf numFmtId="4" fontId="24" fillId="0" borderId="0" xfId="1" applyNumberFormat="1" applyFont="1"/>
    <xf numFmtId="4" fontId="26" fillId="0" borderId="2" xfId="1" applyNumberFormat="1" applyFont="1" applyBorder="1" applyAlignment="1">
      <alignment horizontal="center" vertical="center" wrapText="1"/>
    </xf>
    <xf numFmtId="4" fontId="5" fillId="0" borderId="6" xfId="1" applyNumberFormat="1" applyFont="1" applyBorder="1"/>
    <xf numFmtId="4" fontId="32" fillId="0" borderId="10" xfId="1" applyNumberFormat="1" applyFont="1" applyBorder="1" applyAlignment="1">
      <alignment horizontal="center"/>
    </xf>
    <xf numFmtId="4" fontId="14" fillId="0" borderId="10" xfId="2" applyNumberFormat="1" applyFont="1" applyBorder="1" applyAlignment="1">
      <alignment horizontal="center" vertical="top" wrapText="1"/>
    </xf>
    <xf numFmtId="4" fontId="30" fillId="0" borderId="2" xfId="1" applyNumberFormat="1" applyFont="1" applyBorder="1" applyAlignment="1">
      <alignment horizontal="center"/>
    </xf>
    <xf numFmtId="4" fontId="9" fillId="0" borderId="2" xfId="1" applyNumberFormat="1" applyFont="1" applyBorder="1" applyAlignment="1">
      <alignment horizontal="center" vertical="center" wrapText="1"/>
    </xf>
    <xf numFmtId="4" fontId="15" fillId="0" borderId="2" xfId="1" applyNumberFormat="1" applyFont="1" applyBorder="1" applyAlignment="1">
      <alignment horizontal="center"/>
    </xf>
    <xf numFmtId="4" fontId="15" fillId="0" borderId="0" xfId="1" applyNumberFormat="1" applyFont="1" applyAlignment="1">
      <alignment horizontal="center"/>
    </xf>
    <xf numFmtId="2" fontId="14" fillId="0" borderId="10" xfId="2" applyNumberFormat="1" applyFont="1" applyBorder="1" applyAlignment="1">
      <alignment horizontal="center" vertical="top" wrapText="1"/>
    </xf>
    <xf numFmtId="166" fontId="14" fillId="0" borderId="10" xfId="6" applyFont="1" applyFill="1" applyBorder="1" applyAlignment="1">
      <alignment horizontal="center"/>
    </xf>
    <xf numFmtId="2" fontId="14" fillId="0" borderId="10" xfId="1" applyNumberFormat="1" applyFont="1" applyBorder="1" applyAlignment="1">
      <alignment horizontal="center" vertical="center" wrapText="1"/>
    </xf>
    <xf numFmtId="4" fontId="30" fillId="0" borderId="2" xfId="1" applyNumberFormat="1" applyFont="1" applyBorder="1" applyAlignment="1">
      <alignment horizontal="center" vertical="center" wrapText="1"/>
    </xf>
    <xf numFmtId="4" fontId="42" fillId="0" borderId="10" xfId="1" applyNumberFormat="1" applyFont="1" applyBorder="1" applyAlignment="1">
      <alignment horizontal="center"/>
    </xf>
    <xf numFmtId="4" fontId="31" fillId="0" borderId="10" xfId="1" applyNumberFormat="1" applyFont="1" applyBorder="1" applyAlignment="1">
      <alignment horizontal="center" vertical="center" wrapText="1"/>
    </xf>
    <xf numFmtId="2" fontId="14" fillId="0" borderId="23" xfId="1" applyNumberFormat="1" applyFont="1" applyBorder="1" applyAlignment="1">
      <alignment horizontal="center" vertical="center" wrapText="1"/>
    </xf>
    <xf numFmtId="4" fontId="14" fillId="0" borderId="12" xfId="1" applyNumberFormat="1" applyFont="1" applyBorder="1" applyAlignment="1">
      <alignment horizontal="center"/>
    </xf>
    <xf numFmtId="4" fontId="16" fillId="5" borderId="2" xfId="1" applyNumberFormat="1" applyFont="1" applyFill="1" applyBorder="1" applyAlignment="1">
      <alignment horizontal="center"/>
    </xf>
    <xf numFmtId="0" fontId="5" fillId="5" borderId="0" xfId="1" applyFont="1" applyFill="1"/>
    <xf numFmtId="0" fontId="0" fillId="5" borderId="0" xfId="0" applyFill="1"/>
    <xf numFmtId="4" fontId="5" fillId="5" borderId="0" xfId="1" applyNumberFormat="1" applyFont="1" applyFill="1"/>
    <xf numFmtId="4" fontId="15" fillId="5" borderId="2" xfId="1" applyNumberFormat="1" applyFont="1" applyFill="1" applyBorder="1" applyAlignment="1">
      <alignment horizontal="center"/>
    </xf>
    <xf numFmtId="4" fontId="9" fillId="5" borderId="2" xfId="1" applyNumberFormat="1" applyFont="1" applyFill="1" applyBorder="1" applyAlignment="1">
      <alignment horizontal="center" vertical="center" wrapText="1"/>
    </xf>
    <xf numFmtId="4" fontId="16" fillId="5" borderId="2" xfId="1" applyNumberFormat="1" applyFont="1" applyFill="1" applyBorder="1" applyAlignment="1">
      <alignment horizontal="center" vertical="center" wrapText="1"/>
    </xf>
    <xf numFmtId="4" fontId="22" fillId="5" borderId="1" xfId="1" applyNumberFormat="1" applyFont="1" applyFill="1" applyBorder="1" applyAlignment="1">
      <alignment horizontal="center"/>
    </xf>
    <xf numFmtId="4" fontId="36" fillId="5" borderId="2" xfId="1" applyNumberFormat="1" applyFont="1" applyFill="1" applyBorder="1" applyAlignment="1">
      <alignment horizontal="center" vertical="center" wrapText="1"/>
    </xf>
    <xf numFmtId="4" fontId="41" fillId="5" borderId="2" xfId="6" applyNumberFormat="1" applyFont="1" applyFill="1" applyBorder="1" applyAlignment="1">
      <alignment horizontal="center" vertical="center" wrapText="1"/>
    </xf>
    <xf numFmtId="0" fontId="29" fillId="0" borderId="0" xfId="0" applyFont="1"/>
    <xf numFmtId="2" fontId="10" fillId="0" borderId="24" xfId="1" applyNumberFormat="1" applyFont="1" applyBorder="1" applyAlignment="1">
      <alignment horizontal="center" vertical="center" wrapText="1"/>
    </xf>
    <xf numFmtId="2" fontId="10" fillId="0" borderId="25" xfId="1" applyNumberFormat="1" applyFont="1" applyBorder="1" applyAlignment="1">
      <alignment horizontal="center" vertical="center" wrapText="1"/>
    </xf>
    <xf numFmtId="0" fontId="5" fillId="0" borderId="0" xfId="3" applyFont="1" applyAlignment="1">
      <alignment horizontal="left"/>
    </xf>
    <xf numFmtId="0" fontId="5" fillId="2" borderId="0" xfId="3" applyFont="1" applyFill="1" applyAlignment="1">
      <alignment horizontal="left"/>
    </xf>
    <xf numFmtId="0" fontId="5" fillId="0" borderId="0" xfId="1" applyFont="1" applyAlignment="1">
      <alignment horizontal="left"/>
    </xf>
    <xf numFmtId="0" fontId="5" fillId="2" borderId="0" xfId="1" applyFont="1" applyFill="1" applyAlignment="1">
      <alignment horizontal="left"/>
    </xf>
    <xf numFmtId="0" fontId="4" fillId="0" borderId="0" xfId="3" applyFont="1" applyAlignment="1">
      <alignment horizontal="center" wrapText="1"/>
    </xf>
    <xf numFmtId="0" fontId="4" fillId="2" borderId="0" xfId="3" applyFont="1" applyFill="1" applyAlignment="1">
      <alignment horizontal="center" wrapText="1"/>
    </xf>
    <xf numFmtId="0" fontId="4" fillId="0" borderId="0" xfId="3" applyFont="1" applyAlignment="1">
      <alignment horizontal="center"/>
    </xf>
    <xf numFmtId="0" fontId="4" fillId="2" borderId="0" xfId="3" applyFont="1" applyFill="1" applyAlignment="1">
      <alignment horizontal="center"/>
    </xf>
    <xf numFmtId="0" fontId="9" fillId="0" borderId="26" xfId="3" applyFont="1" applyBorder="1" applyAlignment="1">
      <alignment horizontal="center" vertical="center" wrapText="1"/>
    </xf>
    <xf numFmtId="0" fontId="9" fillId="0" borderId="18" xfId="3" applyFont="1" applyBorder="1" applyAlignment="1">
      <alignment horizontal="center" vertical="center" wrapText="1"/>
    </xf>
    <xf numFmtId="0" fontId="9" fillId="2" borderId="21" xfId="1" applyFont="1" applyFill="1" applyBorder="1" applyAlignment="1">
      <alignment horizontal="center" vertical="center" wrapText="1"/>
    </xf>
    <xf numFmtId="0" fontId="9" fillId="2" borderId="17" xfId="1" applyFont="1" applyFill="1" applyBorder="1" applyAlignment="1">
      <alignment horizontal="center" vertical="center" wrapText="1"/>
    </xf>
    <xf numFmtId="2" fontId="27" fillId="0" borderId="24" xfId="1" applyNumberFormat="1" applyFont="1" applyBorder="1" applyAlignment="1">
      <alignment horizontal="center" vertical="center" wrapText="1"/>
    </xf>
    <xf numFmtId="2" fontId="27" fillId="0" borderId="25" xfId="1" applyNumberFormat="1" applyFont="1" applyBorder="1" applyAlignment="1">
      <alignment horizontal="center" vertical="center" wrapText="1"/>
    </xf>
    <xf numFmtId="0" fontId="22" fillId="0" borderId="0" xfId="3" applyFont="1" applyAlignment="1">
      <alignment horizontal="left"/>
    </xf>
    <xf numFmtId="0" fontId="22" fillId="0" borderId="0" xfId="1" applyFont="1" applyAlignment="1">
      <alignment horizontal="left"/>
    </xf>
    <xf numFmtId="0" fontId="21" fillId="0" borderId="0" xfId="3" applyFont="1" applyAlignment="1">
      <alignment horizontal="center" wrapText="1"/>
    </xf>
    <xf numFmtId="0" fontId="21" fillId="0" borderId="0" xfId="3" applyFont="1" applyAlignment="1">
      <alignment horizontal="center"/>
    </xf>
    <xf numFmtId="0" fontId="26" fillId="0" borderId="26" xfId="3" applyFont="1" applyBorder="1" applyAlignment="1">
      <alignment horizontal="center" vertical="center" wrapText="1"/>
    </xf>
    <xf numFmtId="0" fontId="26" fillId="0" borderId="18" xfId="3" applyFont="1" applyBorder="1" applyAlignment="1">
      <alignment horizontal="center" vertical="center" wrapText="1"/>
    </xf>
    <xf numFmtId="0" fontId="9" fillId="0" borderId="21" xfId="1" applyFont="1" applyBorder="1" applyAlignment="1">
      <alignment horizontal="center" vertical="center" wrapText="1"/>
    </xf>
    <xf numFmtId="0" fontId="9" fillId="0" borderId="17" xfId="1" applyFont="1" applyBorder="1" applyAlignment="1">
      <alignment horizontal="center" vertical="center" wrapText="1"/>
    </xf>
    <xf numFmtId="2" fontId="27" fillId="0" borderId="6" xfId="1" applyNumberFormat="1" applyFont="1" applyBorder="1" applyAlignment="1">
      <alignment horizontal="center" vertical="center" wrapText="1"/>
    </xf>
    <xf numFmtId="2" fontId="27" fillId="0" borderId="20" xfId="1" applyNumberFormat="1" applyFont="1" applyBorder="1" applyAlignment="1">
      <alignment horizontal="center" vertical="center" wrapText="1"/>
    </xf>
    <xf numFmtId="0" fontId="5" fillId="0" borderId="0" xfId="3" applyFont="1" applyAlignment="1">
      <alignment horizontal="center"/>
    </xf>
    <xf numFmtId="0" fontId="22" fillId="0" borderId="0" xfId="1" applyFont="1" applyAlignment="1">
      <alignment horizontal="center"/>
    </xf>
    <xf numFmtId="0" fontId="9" fillId="0" borderId="21" xfId="3" applyFont="1" applyBorder="1" applyAlignment="1">
      <alignment horizontal="center" vertical="center" wrapText="1"/>
    </xf>
    <xf numFmtId="0" fontId="9" fillId="0" borderId="17" xfId="3" applyFont="1" applyBorder="1" applyAlignment="1">
      <alignment horizontal="center" vertical="center" wrapText="1"/>
    </xf>
    <xf numFmtId="0" fontId="9" fillId="0" borderId="27" xfId="1" applyFont="1" applyBorder="1" applyAlignment="1">
      <alignment horizontal="center" vertical="center" wrapText="1"/>
    </xf>
    <xf numFmtId="0" fontId="9" fillId="0" borderId="28" xfId="1" applyFont="1" applyBorder="1" applyAlignment="1">
      <alignment horizontal="center" vertical="center" wrapText="1"/>
    </xf>
    <xf numFmtId="0" fontId="22" fillId="2" borderId="0" xfId="3" applyFont="1" applyFill="1" applyAlignment="1">
      <alignment horizontal="left"/>
    </xf>
    <xf numFmtId="0" fontId="21" fillId="2" borderId="0" xfId="3" applyFont="1" applyFill="1" applyAlignment="1">
      <alignment horizontal="center" wrapText="1"/>
    </xf>
    <xf numFmtId="0" fontId="21" fillId="2" borderId="0" xfId="3" applyFont="1" applyFill="1" applyAlignment="1">
      <alignment horizontal="center"/>
    </xf>
    <xf numFmtId="0" fontId="5" fillId="0" borderId="0" xfId="1" applyFont="1" applyAlignment="1">
      <alignment horizontal="center"/>
    </xf>
    <xf numFmtId="0" fontId="5" fillId="5" borderId="0" xfId="1" applyFont="1" applyFill="1" applyAlignment="1">
      <alignment horizontal="center"/>
    </xf>
    <xf numFmtId="0" fontId="5" fillId="0" borderId="22" xfId="3" applyFont="1" applyBorder="1" applyAlignment="1">
      <alignment horizontal="center"/>
    </xf>
    <xf numFmtId="0" fontId="41" fillId="0" borderId="21" xfId="1" applyFont="1" applyBorder="1" applyAlignment="1">
      <alignment horizontal="center" vertical="center" wrapText="1"/>
    </xf>
    <xf numFmtId="0" fontId="41" fillId="0" borderId="17" xfId="1" applyFont="1" applyBorder="1" applyAlignment="1">
      <alignment horizontal="center" vertical="center" wrapText="1"/>
    </xf>
    <xf numFmtId="0" fontId="9" fillId="2" borderId="26" xfId="3" applyFont="1" applyFill="1" applyBorder="1" applyAlignment="1">
      <alignment horizontal="center" vertical="center" wrapText="1"/>
    </xf>
    <xf numFmtId="0" fontId="9" fillId="2" borderId="18" xfId="3" applyFont="1" applyFill="1" applyBorder="1" applyAlignment="1">
      <alignment horizontal="center" vertical="center" wrapText="1"/>
    </xf>
    <xf numFmtId="0" fontId="5" fillId="0" borderId="0" xfId="3" applyFont="1" applyAlignment="1">
      <alignment horizontal="left" vertical="center" wrapText="1"/>
    </xf>
  </cellXfs>
  <cellStyles count="7">
    <cellStyle name="Обычный" xfId="0" builtinId="0"/>
    <cellStyle name="Обычный 2" xfId="1" xr:uid="{00000000-0005-0000-0000-000001000000}"/>
    <cellStyle name="Обычный 2 2" xfId="2" xr:uid="{00000000-0005-0000-0000-000002000000}"/>
    <cellStyle name="Обычный_197.2" xfId="3" xr:uid="{00000000-0005-0000-0000-000003000000}"/>
    <cellStyle name="Процентный 2" xfId="4" xr:uid="{00000000-0005-0000-0000-000004000000}"/>
    <cellStyle name="Финансовый 2" xfId="5" xr:uid="{00000000-0005-0000-0000-000005000000}"/>
    <cellStyle name="Финансовый 3" xfId="6" xr:uid="{00000000-0005-0000-0000-000006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3.xml"/><Relationship Id="rId89" Type="http://schemas.openxmlformats.org/officeDocument/2006/relationships/externalLink" Target="externalLinks/externalLink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theme" Target="theme/theme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externalLink" Target="externalLinks/externalLink4.xml"/><Relationship Id="rId9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externalLink" Target="externalLinks/externalLink2.xml"/><Relationship Id="rId88" Type="http://schemas.openxmlformats.org/officeDocument/2006/relationships/externalLink" Target="externalLinks/externalLink7.xml"/><Relationship Id="rId9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externalLink" Target="externalLinks/externalLink6.xml"/><Relationship Id="rId61" Type="http://schemas.openxmlformats.org/officeDocument/2006/relationships/worksheet" Target="worksheets/sheet61.xml"/><Relationship Id="rId82" Type="http://schemas.openxmlformats.org/officeDocument/2006/relationships/externalLink" Target="externalLinks/externalLink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sp1-pc\&#1086;&#1073;&#1097;&#1072;&#1103;%20&#1087;&#1072;&#1087;&#1082;&#1072;\&#1055;&#1051;&#1040;&#1053;&#1054;&#1042;&#1054;-&#1069;&#1050;&#1054;&#1053;&#1054;&#1052;&#1048;&#1063;&#1045;&#1057;&#1050;&#1048;&#1049;%20&#1054;&#1058;&#1044;&#1045;&#1051;\12.%20&#1054;&#1090;&#1095;&#1077;&#1090;&#1099;%20&#1052;&#1050;&#1044;\2023\&#1044;&#1077;&#1084;&#1072;%20&#1086;&#1090;&#1095;&#1077;&#1090;&#1099;%20&#1079;&#1072;%202023%20&#1043;.&#1060;\5.%20&#1054;&#1090;&#1095;&#1077;&#1090;&#1099;%20&#1087;&#1086;%20&#1046;&#1069;&#1059;%2091%20&#1095;&#1072;&#1089;&#1090;&#1100;%20&#1087;&#1077;&#1088;&#1074;&#1072;&#1103;%20&#1079;&#1072;%202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sp1-pc\&#1086;&#1073;&#1097;&#1072;&#1103;%20&#1087;&#1072;&#1087;&#1082;&#1072;\&#1055;&#1051;&#1040;&#1053;&#1054;&#1042;&#1054;-&#1069;&#1050;&#1054;&#1053;&#1054;&#1052;&#1048;&#1063;&#1045;&#1057;&#1050;&#1048;&#1049;%20&#1054;&#1058;&#1044;&#1045;&#1051;\12.%20&#1054;&#1090;&#1095;&#1077;&#1090;&#1099;%20&#1052;&#1050;&#1044;\3.%20&#1054;&#1090;&#1095;&#1077;&#1090;&#1099;%20&#1087;&#1086;%20&#1046;&#1069;&#1059;%2034%20(2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&#1087;&#1072;&#1087;&#1082;&#1072;%20&#1086;&#1073;&#1084;&#1077;&#1085;&#1072;\Users\econ\Desktop\9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sp1-pc\&#1086;&#1073;&#1097;&#1072;&#1103;%20&#1087;&#1072;&#1087;&#1082;&#1072;\&#1055;&#1051;&#1040;&#1053;&#1054;&#1042;&#1054;-&#1069;&#1050;&#1054;&#1053;&#1054;&#1052;&#1048;&#1063;&#1045;&#1057;&#1050;&#1048;&#1049;%20&#1054;&#1058;&#1044;&#1045;&#1051;\12.%20&#1054;&#1090;&#1095;&#1077;&#1090;&#1099;%20&#1052;&#1050;&#1044;\2023\&#1044;&#1077;&#1084;&#1072;%20&#1086;&#1090;&#1095;&#1077;&#1090;&#1099;%20&#1079;&#1072;%202023%20&#1043;.&#1060;\&#1054;&#1090;&#1095;&#1077;&#1090;&#1099;%20&#1087;&#1086;%20&#1046;&#1069;&#1059;%203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sp1-pc\&#1086;&#1073;&#1097;&#1072;&#1103;%20&#1087;&#1072;&#1087;&#1082;&#1072;\&#1055;&#1051;&#1040;&#1053;&#1054;&#1042;&#1054;-&#1069;&#1050;&#1054;&#1053;&#1054;&#1052;&#1048;&#1063;&#1045;&#1057;&#1050;&#1048;&#1049;%20&#1054;&#1058;&#1044;&#1045;&#1051;\12.%20&#1054;&#1090;&#1095;&#1077;&#1090;&#1099;%20&#1052;&#1050;&#1044;\2023\&#1044;&#1077;&#1084;&#1072;%20&#1086;&#1090;&#1095;&#1077;&#1090;&#1099;%20&#1079;&#1072;%202023%20&#1043;.&#1060;\2.%20&#1054;&#1090;&#1095;&#1077;&#1090;&#1099;%20&#1087;&#1086;%20&#1046;&#1069;&#1059;%2032%20&#1079;&#1072;%202023%20&#1075;&#1086;&#1076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sp1-pc\&#1086;&#1073;&#1097;&#1072;&#1103;%20&#1087;&#1072;&#1087;&#1082;&#1072;\&#1055;&#1051;&#1040;&#1053;&#1054;&#1042;&#1054;-&#1069;&#1050;&#1054;&#1053;&#1054;&#1052;&#1048;&#1063;&#1045;&#1057;&#1050;&#1048;&#1049;%20&#1054;&#1058;&#1044;&#1045;&#1051;\12.%20&#1054;&#1090;&#1095;&#1077;&#1090;&#1099;%20&#1052;&#1050;&#1044;\2023\&#1044;&#1077;&#1084;&#1072;%20&#1086;&#1090;&#1095;&#1077;&#1090;&#1099;%20&#1079;&#1072;%202023%20&#1043;.&#1060;\Users\econ\Desktop\9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sp1-pc\&#1086;&#1073;&#1097;&#1072;&#1103;%20&#1087;&#1072;&#1087;&#1082;&#1072;\&#1055;&#1051;&#1040;&#1053;&#1054;&#1042;&#1054;-&#1069;&#1050;&#1054;&#1053;&#1054;&#1052;&#1048;&#1063;&#1045;&#1057;&#1050;&#1048;&#1049;%20&#1054;&#1058;&#1044;&#1045;&#1051;\12.%20&#1054;&#1090;&#1095;&#1077;&#1090;&#1099;%20&#1052;&#1050;&#1044;\2023\&#1044;&#1077;&#1084;&#1072;%20&#1086;&#1090;&#1095;&#1077;&#1090;&#1099;%20&#1079;&#1072;%202023%20&#1043;.&#1060;\5.%20&#1054;&#1090;&#1095;&#1077;&#1090;&#1099;%20&#1087;&#1086;%20&#1046;&#1069;&#1059;%2091%20&#1074;&#1090;&#1086;&#1088;&#1072;&#1103;%20&#1095;&#1072;&#1089;&#1090;&#1100;%20&#1079;&#1072;%2023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sp1-pc\&#1086;&#1073;&#1097;&#1072;&#1103;%20&#1087;&#1072;&#1087;&#1082;&#1072;\&#1055;&#1051;&#1040;&#1053;&#1054;&#1042;&#1054;-&#1069;&#1050;&#1054;&#1053;&#1054;&#1052;&#1048;&#1063;&#1045;&#1057;&#1050;&#1048;&#1049;%20&#1054;&#1058;&#1044;&#1045;&#1051;\12.%20&#1054;&#1090;&#1095;&#1077;&#1090;&#1099;%20&#1052;&#1050;&#1044;\63%20&#1075;&#1086;&#1090;&#1086;&#1074;&#1099;&#108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Лист1"/>
      <sheetName val="1-я Стр 42"/>
      <sheetName val="1-я Стр 44"/>
      <sheetName val="1-я Стр 46"/>
      <sheetName val="Гроз67-1"/>
      <sheetName val="Гроз67-2"/>
      <sheetName val="Гроз67-3"/>
      <sheetName val="Гроз 67-4"/>
      <sheetName val="Гроз 67-5"/>
      <sheetName val="Гроз 69-7"/>
      <sheetName val="Гроз 71-1"/>
      <sheetName val="Даг 11"/>
      <sheetName val="Даг 13"/>
      <sheetName val="Даг 5"/>
      <sheetName val="Даг 7"/>
      <sheetName val="Даг 9"/>
      <sheetName val="Даг 9-1"/>
      <sheetName val="Лев 13"/>
      <sheetName val="Лев 14-1"/>
      <sheetName val="Лев 14-2"/>
      <sheetName val="Лев 14-3"/>
      <sheetName val="Лев 14-4"/>
      <sheetName val="Лев 14-5"/>
      <sheetName val="Лев 14-6"/>
      <sheetName val="Лев 15"/>
      <sheetName val="Лев 17"/>
      <sheetName val="Лев 19"/>
      <sheetName val="Лев 20"/>
      <sheetName val="Лев 21"/>
      <sheetName val="Лев 21а"/>
      <sheetName val="Лев 22"/>
      <sheetName val="Лев 22-1"/>
      <sheetName val="Лев 22-2"/>
      <sheetName val="Центр 51"/>
      <sheetName val="Центр 44"/>
      <sheetName val="Центр 42"/>
      <sheetName val="Центр 40"/>
      <sheetName val="Центр 38"/>
      <sheetName val="Центр 31-1"/>
      <sheetName val="Ряд 15"/>
      <sheetName val="Ряд 13"/>
      <sheetName val="Ряд 12"/>
      <sheetName val="Ряд 11"/>
      <sheetName val="Ряд 10"/>
      <sheetName val="Ряд 9"/>
    </sheetNames>
    <sheetDataSet>
      <sheetData sheetId="0">
        <row r="1">
          <cell r="M1" t="str">
            <v xml:space="preserve">Не трогать! Идет в отчет </v>
          </cell>
          <cell r="N1">
            <v>132871710.76000001</v>
          </cell>
          <cell r="O1">
            <v>131277874.77999997</v>
          </cell>
        </row>
        <row r="2">
          <cell r="M2" t="str">
            <v>С ЕРКЦ</v>
          </cell>
          <cell r="N2" t="str">
            <v>Постоянные начисления-разовые</v>
          </cell>
          <cell r="O2" t="str">
            <v>Оплата</v>
          </cell>
        </row>
        <row r="3">
          <cell r="M3" t="str">
            <v>Ул. Дагестанская дом 11/1</v>
          </cell>
          <cell r="N3">
            <v>1522487.7999999998</v>
          </cell>
          <cell r="O3">
            <v>1442812.6</v>
          </cell>
        </row>
        <row r="4">
          <cell r="M4" t="str">
            <v>Ул. Дагестанская дом 13/1</v>
          </cell>
          <cell r="N4">
            <v>1664667.45</v>
          </cell>
          <cell r="O4">
            <v>1662682.27</v>
          </cell>
        </row>
        <row r="5">
          <cell r="M5" t="str">
            <v>Ул. Дагестанская дом 13/2</v>
          </cell>
          <cell r="N5">
            <v>871034.78</v>
          </cell>
          <cell r="O5">
            <v>882990.17</v>
          </cell>
        </row>
        <row r="6">
          <cell r="M6" t="str">
            <v>Ул. Дагестанская дом 15</v>
          </cell>
          <cell r="N6">
            <v>779395.08000000007</v>
          </cell>
          <cell r="O6">
            <v>747439.42999999993</v>
          </cell>
        </row>
        <row r="7">
          <cell r="M7" t="str">
            <v>Ул. Дагестанская дом 16</v>
          </cell>
          <cell r="N7">
            <v>1368014.3199999998</v>
          </cell>
          <cell r="O7">
            <v>1313270.1599999999</v>
          </cell>
        </row>
        <row r="8">
          <cell r="M8" t="str">
            <v>Ул. Дагестанская дом 17</v>
          </cell>
          <cell r="N8">
            <v>446208.48</v>
          </cell>
          <cell r="O8">
            <v>437668.09</v>
          </cell>
        </row>
        <row r="9">
          <cell r="M9" t="str">
            <v>Ул. Дагестанская дом 19</v>
          </cell>
          <cell r="N9">
            <v>726887.46</v>
          </cell>
          <cell r="O9">
            <v>718893.08</v>
          </cell>
        </row>
        <row r="10">
          <cell r="M10" t="str">
            <v>Ул. Дагестанская дом 27</v>
          </cell>
          <cell r="N10">
            <v>1309989.5999999999</v>
          </cell>
          <cell r="O10">
            <v>1265585.44</v>
          </cell>
        </row>
        <row r="11">
          <cell r="M11" t="str">
            <v>Ул. Магистральная дом 6</v>
          </cell>
          <cell r="N11">
            <v>1904705.5999999999</v>
          </cell>
          <cell r="O11">
            <v>1876237.36</v>
          </cell>
        </row>
        <row r="12">
          <cell r="M12" t="str">
            <v>Ул. Мусоргского дом 7</v>
          </cell>
          <cell r="N12">
            <v>454862.33999999997</v>
          </cell>
          <cell r="O12">
            <v>435569.64</v>
          </cell>
        </row>
        <row r="13">
          <cell r="M13" t="str">
            <v>Ул. Мусоргского дом 9</v>
          </cell>
          <cell r="N13">
            <v>629096.15999999992</v>
          </cell>
          <cell r="O13">
            <v>602965.66999999993</v>
          </cell>
        </row>
        <row r="14">
          <cell r="M14" t="str">
            <v>Ул. Мусоргского дом 9/А</v>
          </cell>
          <cell r="N14">
            <v>536036.6</v>
          </cell>
          <cell r="O14">
            <v>506731.56</v>
          </cell>
        </row>
        <row r="15">
          <cell r="M15" t="str">
            <v>Ул. Мусоргского дом 11</v>
          </cell>
          <cell r="N15">
            <v>697741.32</v>
          </cell>
          <cell r="O15">
            <v>669265.25</v>
          </cell>
        </row>
        <row r="16">
          <cell r="M16" t="str">
            <v>Ул. Мусоргского дом 13</v>
          </cell>
          <cell r="N16">
            <v>590086.80000000005</v>
          </cell>
          <cell r="O16">
            <v>582908.30000000005</v>
          </cell>
        </row>
        <row r="17">
          <cell r="M17" t="str">
            <v>Ул. Мусоргского дом 13а</v>
          </cell>
          <cell r="N17">
            <v>703759.04</v>
          </cell>
          <cell r="O17">
            <v>688061.30999999994</v>
          </cell>
        </row>
        <row r="18">
          <cell r="M18" t="str">
            <v>Ул. Мусоргского дом 15</v>
          </cell>
          <cell r="N18">
            <v>554462.38</v>
          </cell>
          <cell r="O18">
            <v>484935.08</v>
          </cell>
        </row>
        <row r="19">
          <cell r="M19" t="str">
            <v>Ул. Мусоргского дом 15/А</v>
          </cell>
          <cell r="N19">
            <v>525988.76</v>
          </cell>
          <cell r="O19">
            <v>479907.32999999996</v>
          </cell>
        </row>
        <row r="20">
          <cell r="M20" t="str">
            <v>Ул. Мусоргского дом 17</v>
          </cell>
          <cell r="N20">
            <v>667524.88</v>
          </cell>
          <cell r="O20">
            <v>724217.25</v>
          </cell>
        </row>
        <row r="21">
          <cell r="M21" t="str">
            <v>Ул. Мусоргского дом 19/1</v>
          </cell>
          <cell r="N21">
            <v>806722.26</v>
          </cell>
          <cell r="O21">
            <v>782243.8600000001</v>
          </cell>
        </row>
        <row r="22">
          <cell r="M22" t="str">
            <v>Ул. Мусоргского дом 19/А</v>
          </cell>
          <cell r="N22">
            <v>539293.31999999995</v>
          </cell>
          <cell r="O22">
            <v>539213.04999999993</v>
          </cell>
        </row>
        <row r="23">
          <cell r="M23" t="str">
            <v>Ул. Мусоргского дом 19б</v>
          </cell>
          <cell r="N23">
            <v>517846.18</v>
          </cell>
          <cell r="O23">
            <v>522619.92</v>
          </cell>
        </row>
        <row r="24">
          <cell r="M24" t="str">
            <v>Ул. Мусоргского дом 21/1</v>
          </cell>
          <cell r="N24">
            <v>800254.67999999993</v>
          </cell>
          <cell r="O24">
            <v>792025.5</v>
          </cell>
        </row>
        <row r="25">
          <cell r="M25" t="str">
            <v>Ул. Мусоргского дом 23</v>
          </cell>
          <cell r="N25">
            <v>1607797.2200000002</v>
          </cell>
          <cell r="O25">
            <v>1558614.08</v>
          </cell>
        </row>
        <row r="26">
          <cell r="M26" t="str">
            <v>Ул. Мусоргского дом 25</v>
          </cell>
          <cell r="N26">
            <v>648077.60000000009</v>
          </cell>
          <cell r="O26">
            <v>642771.93999999994</v>
          </cell>
        </row>
        <row r="27">
          <cell r="M27" t="str">
            <v>Ул. Мусоргского дом 25/1</v>
          </cell>
          <cell r="N27">
            <v>848819.4</v>
          </cell>
          <cell r="O27">
            <v>854618.03</v>
          </cell>
        </row>
        <row r="28">
          <cell r="M28" t="str">
            <v>Ул. Правды дом 18</v>
          </cell>
          <cell r="N28">
            <v>1386013.32</v>
          </cell>
          <cell r="O28">
            <v>1407210.88</v>
          </cell>
        </row>
        <row r="29">
          <cell r="M29" t="str">
            <v>Ул. Правды дом 18/1</v>
          </cell>
          <cell r="N29">
            <v>668829.48</v>
          </cell>
          <cell r="O29">
            <v>700390.52</v>
          </cell>
        </row>
        <row r="30">
          <cell r="M30" t="str">
            <v>Ул. Правды дом 18/2</v>
          </cell>
          <cell r="N30">
            <v>441984.46</v>
          </cell>
          <cell r="O30">
            <v>484434.24</v>
          </cell>
        </row>
        <row r="31">
          <cell r="M31" t="str">
            <v>Ул. Правды дом 18/3</v>
          </cell>
          <cell r="N31">
            <v>869889.38000000012</v>
          </cell>
          <cell r="O31">
            <v>802652.5</v>
          </cell>
        </row>
        <row r="32">
          <cell r="M32" t="str">
            <v>Ул. Правды дом 20</v>
          </cell>
          <cell r="N32">
            <v>1048812.04</v>
          </cell>
          <cell r="O32">
            <v>1028552.72</v>
          </cell>
        </row>
        <row r="33">
          <cell r="M33" t="str">
            <v>Ул. Правды дом 20/1</v>
          </cell>
          <cell r="N33">
            <v>666692.34000000008</v>
          </cell>
          <cell r="O33">
            <v>655057.41999999993</v>
          </cell>
        </row>
        <row r="34">
          <cell r="M34" t="str">
            <v>Ул. Правды дом 20/2</v>
          </cell>
          <cell r="N34">
            <v>496178.2</v>
          </cell>
          <cell r="O34">
            <v>501463.72000000003</v>
          </cell>
        </row>
        <row r="35">
          <cell r="M35" t="str">
            <v>Ул. Правды дом 20/3</v>
          </cell>
          <cell r="N35">
            <v>523308.61</v>
          </cell>
          <cell r="O35">
            <v>516113.12</v>
          </cell>
        </row>
        <row r="36">
          <cell r="M36" t="str">
            <v>Ул. Таллинская дом 21</v>
          </cell>
          <cell r="N36">
            <v>651221.1</v>
          </cell>
          <cell r="O36">
            <v>646780.7300000001</v>
          </cell>
        </row>
        <row r="37">
          <cell r="M37" t="str">
            <v>Ул. Таллинская дом 21/А</v>
          </cell>
          <cell r="N37">
            <v>318864.10000000003</v>
          </cell>
          <cell r="O37">
            <v>300036.29000000004</v>
          </cell>
        </row>
        <row r="38">
          <cell r="M38" t="str">
            <v>Ул. Таллинская дом 21/Б</v>
          </cell>
          <cell r="N38">
            <v>441279.28</v>
          </cell>
          <cell r="O38">
            <v>468176.91</v>
          </cell>
        </row>
        <row r="40">
          <cell r="M40" t="str">
            <v>Ул. Таллинская дом 23</v>
          </cell>
          <cell r="N40">
            <v>522071.76</v>
          </cell>
          <cell r="O40">
            <v>511893.37</v>
          </cell>
        </row>
        <row r="41">
          <cell r="M41" t="str">
            <v>Ул. Таллинская дом 23/А</v>
          </cell>
          <cell r="N41">
            <v>674953.6</v>
          </cell>
          <cell r="O41">
            <v>655946.35</v>
          </cell>
        </row>
        <row r="42">
          <cell r="M42" t="str">
            <v>Ул. Таллинская дом 23/Б</v>
          </cell>
          <cell r="N42">
            <v>390348.06999999995</v>
          </cell>
          <cell r="O42">
            <v>332820.7</v>
          </cell>
        </row>
        <row r="45">
          <cell r="M45" t="str">
            <v>Ул. Дагестанская дом 15/1</v>
          </cell>
          <cell r="N45">
            <v>1025927.56</v>
          </cell>
          <cell r="O45">
            <v>1141483.8600000001</v>
          </cell>
        </row>
        <row r="46">
          <cell r="M46" t="str">
            <v>Ул. Дагестанская дом 17/1</v>
          </cell>
          <cell r="N46">
            <v>1683980.7599999998</v>
          </cell>
          <cell r="O46">
            <v>1673325.6500000001</v>
          </cell>
        </row>
        <row r="47">
          <cell r="M47" t="str">
            <v>Ул. Дагестанская дом 31</v>
          </cell>
          <cell r="N47">
            <v>583740.12</v>
          </cell>
          <cell r="O47">
            <v>581771.71</v>
          </cell>
        </row>
        <row r="48">
          <cell r="M48" t="str">
            <v>Ул. Мусоргского дом 21</v>
          </cell>
          <cell r="N48">
            <v>500288.52</v>
          </cell>
          <cell r="O48">
            <v>496645.77</v>
          </cell>
        </row>
        <row r="49">
          <cell r="M49" t="str">
            <v>Ул. Дагестанская дом 7</v>
          </cell>
          <cell r="N49">
            <v>288320.76</v>
          </cell>
          <cell r="O49">
            <v>307424.43</v>
          </cell>
        </row>
        <row r="50">
          <cell r="M50" t="str">
            <v>Ул. Дагестанская дом 9</v>
          </cell>
          <cell r="N50">
            <v>325613.37000000005</v>
          </cell>
          <cell r="O50">
            <v>269364.33999999997</v>
          </cell>
        </row>
        <row r="51">
          <cell r="M51" t="str">
            <v>Ул. Дагестанская дом 9/1</v>
          </cell>
          <cell r="N51">
            <v>130564.32</v>
          </cell>
          <cell r="O51">
            <v>131422.06</v>
          </cell>
        </row>
        <row r="52">
          <cell r="M52" t="str">
            <v>Ул. Дагестанская дом 11</v>
          </cell>
          <cell r="N52">
            <v>324557.04000000004</v>
          </cell>
          <cell r="O52">
            <v>337170.29000000004</v>
          </cell>
        </row>
        <row r="53">
          <cell r="M53" t="str">
            <v>Ул. Дагестанская дом 13</v>
          </cell>
          <cell r="N53">
            <v>263263.89999999997</v>
          </cell>
          <cell r="O53">
            <v>276130.94</v>
          </cell>
        </row>
        <row r="54">
          <cell r="M54" t="str">
            <v>Ул. Левитана дом 7</v>
          </cell>
          <cell r="N54">
            <v>379457.68000000005</v>
          </cell>
          <cell r="O54">
            <v>383572.86000000004</v>
          </cell>
        </row>
        <row r="55">
          <cell r="M55" t="str">
            <v>Ул. Левитана дом 14/1</v>
          </cell>
          <cell r="N55">
            <v>708021.1399999999</v>
          </cell>
          <cell r="O55">
            <v>791846.8899999999</v>
          </cell>
        </row>
        <row r="56">
          <cell r="M56" t="str">
            <v>Ул. Левитана дом 14/2</v>
          </cell>
          <cell r="N56">
            <v>712075.84</v>
          </cell>
          <cell r="O56">
            <v>675188.72</v>
          </cell>
        </row>
        <row r="57">
          <cell r="M57" t="str">
            <v>Ул. Левитана дом 14/3</v>
          </cell>
          <cell r="N57">
            <v>699129.06</v>
          </cell>
          <cell r="O57">
            <v>704304.6</v>
          </cell>
        </row>
        <row r="58">
          <cell r="M58" t="str">
            <v>Ул. Левитана дом 20</v>
          </cell>
          <cell r="N58">
            <v>1646397.48</v>
          </cell>
          <cell r="O58">
            <v>1697920.65</v>
          </cell>
        </row>
        <row r="59">
          <cell r="M59" t="str">
            <v>Ул. Левитана дом 21/А</v>
          </cell>
          <cell r="N59">
            <v>248190.02</v>
          </cell>
          <cell r="O59">
            <v>237934.37</v>
          </cell>
        </row>
        <row r="60">
          <cell r="M60" t="str">
            <v>Ул. Правды дом 1</v>
          </cell>
          <cell r="N60">
            <v>889138.05999999994</v>
          </cell>
          <cell r="O60">
            <v>828864.26</v>
          </cell>
        </row>
        <row r="61">
          <cell r="M61" t="str">
            <v>Ул. Правды дом 2</v>
          </cell>
          <cell r="N61">
            <v>235249.88</v>
          </cell>
          <cell r="O61">
            <v>229578.48</v>
          </cell>
        </row>
        <row r="62">
          <cell r="M62" t="str">
            <v>Ул. Правды дом 3</v>
          </cell>
          <cell r="N62">
            <v>458371.08</v>
          </cell>
          <cell r="O62">
            <v>439632.57</v>
          </cell>
        </row>
        <row r="63">
          <cell r="M63" t="str">
            <v>Ул. Правды дом 4</v>
          </cell>
          <cell r="N63">
            <v>298914.37999999995</v>
          </cell>
          <cell r="O63">
            <v>295780.15999999997</v>
          </cell>
        </row>
        <row r="64">
          <cell r="M64" t="str">
            <v>Ул. Правды дом 4/1</v>
          </cell>
          <cell r="N64">
            <v>403827.74</v>
          </cell>
          <cell r="O64">
            <v>390813.39</v>
          </cell>
        </row>
        <row r="65">
          <cell r="M65" t="str">
            <v>Ул. Правды дом 6</v>
          </cell>
          <cell r="N65">
            <v>327472.95</v>
          </cell>
          <cell r="O65">
            <v>249400.92</v>
          </cell>
        </row>
        <row r="66">
          <cell r="M66" t="str">
            <v>Ул. Правды дом 6/А</v>
          </cell>
          <cell r="N66">
            <v>223946.38</v>
          </cell>
          <cell r="O66">
            <v>195151.26</v>
          </cell>
        </row>
        <row r="67">
          <cell r="M67" t="str">
            <v>Ул. Правды дом 8</v>
          </cell>
          <cell r="N67">
            <v>276492.44</v>
          </cell>
          <cell r="O67">
            <v>291987.71999999997</v>
          </cell>
        </row>
        <row r="68">
          <cell r="M68" t="str">
            <v>Ул. Правды дом 8/1</v>
          </cell>
          <cell r="N68">
            <v>362491.12</v>
          </cell>
          <cell r="O68">
            <v>338480.57</v>
          </cell>
        </row>
        <row r="69">
          <cell r="M69" t="str">
            <v>Ул. Правды дом 8/А</v>
          </cell>
          <cell r="N69">
            <v>275378.40000000002</v>
          </cell>
          <cell r="O69">
            <v>272032.94</v>
          </cell>
        </row>
        <row r="70">
          <cell r="M70" t="str">
            <v>Ул. Правды дом 10</v>
          </cell>
          <cell r="N70">
            <v>189175.08</v>
          </cell>
          <cell r="O70">
            <v>198392.79</v>
          </cell>
        </row>
        <row r="71">
          <cell r="M71" t="str">
            <v>Ул. Правды дом 10/А</v>
          </cell>
          <cell r="N71">
            <v>259140.96</v>
          </cell>
          <cell r="O71">
            <v>285436.53000000003</v>
          </cell>
        </row>
        <row r="72">
          <cell r="M72" t="str">
            <v>Ул. Правды дом 11</v>
          </cell>
          <cell r="N72">
            <v>461639.28</v>
          </cell>
          <cell r="O72">
            <v>448222.27</v>
          </cell>
        </row>
        <row r="73">
          <cell r="M73" t="str">
            <v>Ул. Правды дом 13</v>
          </cell>
          <cell r="N73">
            <v>374789.28</v>
          </cell>
          <cell r="O73">
            <v>365350.86</v>
          </cell>
        </row>
        <row r="74">
          <cell r="M74" t="str">
            <v>Ул. Правды дом 15</v>
          </cell>
          <cell r="N74">
            <v>968209.22</v>
          </cell>
          <cell r="O74">
            <v>932069.77</v>
          </cell>
        </row>
        <row r="75">
          <cell r="M75" t="str">
            <v>Ул. Таллинская дом 4</v>
          </cell>
          <cell r="N75">
            <v>770207.21000000008</v>
          </cell>
          <cell r="O75">
            <v>819761.2699999999</v>
          </cell>
        </row>
        <row r="76">
          <cell r="M76" t="str">
            <v>Ул. Таллинская дом 6</v>
          </cell>
          <cell r="N76">
            <v>404719.56</v>
          </cell>
          <cell r="O76">
            <v>436243.68</v>
          </cell>
        </row>
        <row r="77">
          <cell r="M77" t="str">
            <v>Ул. Таллинская дом 7</v>
          </cell>
          <cell r="N77">
            <v>446170.58</v>
          </cell>
          <cell r="O77">
            <v>431290.48</v>
          </cell>
        </row>
        <row r="78">
          <cell r="M78" t="str">
            <v>Ул. Таллинская дом 14</v>
          </cell>
          <cell r="N78">
            <v>271837.42</v>
          </cell>
          <cell r="O78">
            <v>296422.17</v>
          </cell>
        </row>
        <row r="79">
          <cell r="M79" t="str">
            <v>Ул. Таллинская дом 24/1</v>
          </cell>
          <cell r="N79">
            <v>555268.1</v>
          </cell>
          <cell r="O79">
            <v>535942.07999999996</v>
          </cell>
        </row>
        <row r="80">
          <cell r="M80" t="str">
            <v>Ул. Таллинская дом 26/1</v>
          </cell>
          <cell r="N80">
            <v>407171.34</v>
          </cell>
          <cell r="O80">
            <v>414656.83000000007</v>
          </cell>
        </row>
        <row r="81">
          <cell r="M81" t="str">
            <v>Ул. Таллинская дом 28/1</v>
          </cell>
          <cell r="N81">
            <v>387597.88</v>
          </cell>
          <cell r="O81">
            <v>401397.9</v>
          </cell>
        </row>
        <row r="82">
          <cell r="M82" t="str">
            <v>Ул. Центральная дом 1</v>
          </cell>
          <cell r="N82">
            <v>20599.919999999998</v>
          </cell>
          <cell r="O82">
            <v>24817.48</v>
          </cell>
        </row>
        <row r="83">
          <cell r="M83" t="str">
            <v>Ул. Центральная дом 1/2</v>
          </cell>
          <cell r="N83">
            <v>1024122.76</v>
          </cell>
          <cell r="O83">
            <v>1076250.95</v>
          </cell>
        </row>
        <row r="84">
          <cell r="M84" t="str">
            <v>Ул. Центральная дом 3</v>
          </cell>
          <cell r="N84">
            <v>15218.32</v>
          </cell>
          <cell r="O84">
            <v>15069.8</v>
          </cell>
        </row>
        <row r="85">
          <cell r="M85" t="str">
            <v>Ул. Центральная дом 6/1</v>
          </cell>
          <cell r="N85">
            <v>552409.16</v>
          </cell>
          <cell r="O85">
            <v>509056.35000000003</v>
          </cell>
        </row>
        <row r="86">
          <cell r="M86" t="str">
            <v>Ул. Центральная дом 18/1</v>
          </cell>
          <cell r="N86">
            <v>298973.18</v>
          </cell>
          <cell r="O86">
            <v>302628.07</v>
          </cell>
        </row>
        <row r="87">
          <cell r="M87" t="str">
            <v>Ул. Магистральная дом 20/1</v>
          </cell>
          <cell r="N87">
            <v>689532</v>
          </cell>
          <cell r="O87">
            <v>705035.97</v>
          </cell>
        </row>
        <row r="88">
          <cell r="M88" t="str">
            <v>Ул. Магистральная дом 27</v>
          </cell>
          <cell r="N88">
            <v>1738836.48</v>
          </cell>
          <cell r="O88">
            <v>1720246.25</v>
          </cell>
        </row>
        <row r="89">
          <cell r="M89" t="str">
            <v>Ул. Мусы Джалиля дом 64</v>
          </cell>
          <cell r="N89">
            <v>2074082.07</v>
          </cell>
          <cell r="O89">
            <v>1835514.36</v>
          </cell>
        </row>
        <row r="90">
          <cell r="M90" t="str">
            <v>Ул. Мусы Джалиля дом 66</v>
          </cell>
          <cell r="N90">
            <v>2445318.5499999998</v>
          </cell>
          <cell r="O90">
            <v>2451363.9</v>
          </cell>
        </row>
        <row r="91">
          <cell r="M91" t="str">
            <v>Ул. Мусы Джалиля дом 68</v>
          </cell>
          <cell r="N91">
            <v>2030405.22</v>
          </cell>
          <cell r="O91">
            <v>1993153.96</v>
          </cell>
        </row>
        <row r="92">
          <cell r="M92" t="str">
            <v>Ул. Мусы Джалиля дом 68/1</v>
          </cell>
          <cell r="N92">
            <v>1460996.56</v>
          </cell>
          <cell r="O92">
            <v>1423608.98</v>
          </cell>
        </row>
        <row r="93">
          <cell r="M93" t="str">
            <v>Ул. Мусы Джалиля дом 72/1</v>
          </cell>
          <cell r="N93">
            <v>870747.42</v>
          </cell>
          <cell r="O93">
            <v>940735.97</v>
          </cell>
        </row>
        <row r="94">
          <cell r="M94" t="str">
            <v>Ул. Мусы Джалиля дом 74</v>
          </cell>
          <cell r="N94">
            <v>3842750.04</v>
          </cell>
          <cell r="O94">
            <v>3897433.72</v>
          </cell>
        </row>
        <row r="95">
          <cell r="M95" t="str">
            <v>Ул. Мусы Джалиля дом 74/1</v>
          </cell>
          <cell r="N95">
            <v>1557628.68</v>
          </cell>
          <cell r="O95">
            <v>1473099.78</v>
          </cell>
        </row>
        <row r="96">
          <cell r="M96" t="str">
            <v>Ул. Мусы Джалиля дом 74/3</v>
          </cell>
          <cell r="N96">
            <v>472989.81999999995</v>
          </cell>
          <cell r="O96">
            <v>437363.93999999994</v>
          </cell>
        </row>
        <row r="97">
          <cell r="M97" t="str">
            <v>Ул. Островского дом 16/1</v>
          </cell>
          <cell r="N97">
            <v>2197040.71</v>
          </cell>
          <cell r="O97">
            <v>2278521.77</v>
          </cell>
        </row>
        <row r="98">
          <cell r="M98" t="str">
            <v>Ул. Островского дом 18/1</v>
          </cell>
          <cell r="N98">
            <v>1513089.85</v>
          </cell>
          <cell r="O98">
            <v>1476211.68</v>
          </cell>
        </row>
        <row r="99">
          <cell r="M99" t="str">
            <v>Ул. Правды дом 21</v>
          </cell>
          <cell r="N99">
            <v>2473665.2400000002</v>
          </cell>
          <cell r="O99">
            <v>2448003.11</v>
          </cell>
        </row>
        <row r="100">
          <cell r="M100" t="str">
            <v>Ул. Правды дом 23</v>
          </cell>
          <cell r="N100">
            <v>866983.85</v>
          </cell>
          <cell r="O100">
            <v>887094.1100000001</v>
          </cell>
        </row>
        <row r="101">
          <cell r="M101" t="str">
            <v>Ул. Ухтомского дом 10</v>
          </cell>
          <cell r="N101">
            <v>1018464.26</v>
          </cell>
          <cell r="O101">
            <v>1061092.3700000001</v>
          </cell>
        </row>
        <row r="102">
          <cell r="M102" t="str">
            <v>Ул. Ухтомского дом 11</v>
          </cell>
          <cell r="N102">
            <v>947497.55999999994</v>
          </cell>
          <cell r="O102">
            <v>945786.02</v>
          </cell>
        </row>
        <row r="103">
          <cell r="M103" t="str">
            <v>Ул. Ухтомского дом 12</v>
          </cell>
          <cell r="N103">
            <v>2430874.04</v>
          </cell>
          <cell r="O103">
            <v>2440177.7199999997</v>
          </cell>
        </row>
        <row r="104">
          <cell r="M104" t="str">
            <v>Ул. Ухтомского дом 16</v>
          </cell>
          <cell r="N104">
            <v>1078466.3999999999</v>
          </cell>
          <cell r="O104">
            <v>1108091.3500000001</v>
          </cell>
        </row>
        <row r="105">
          <cell r="M105" t="str">
            <v>Ул. Ухтомского дом 20</v>
          </cell>
          <cell r="N105">
            <v>342920.24</v>
          </cell>
          <cell r="O105">
            <v>344176.05</v>
          </cell>
        </row>
        <row r="106">
          <cell r="M106" t="str">
            <v>Ул. Ухтомского дом 22</v>
          </cell>
          <cell r="N106">
            <v>1592704.48</v>
          </cell>
          <cell r="O106">
            <v>1670026.89</v>
          </cell>
        </row>
        <row r="107">
          <cell r="M107" t="str">
            <v>Ул. Ухтомского дом 24</v>
          </cell>
          <cell r="N107">
            <v>1337046.6400000001</v>
          </cell>
          <cell r="O107">
            <v>1312580.67</v>
          </cell>
        </row>
        <row r="108">
          <cell r="M108" t="str">
            <v>Ул. Ухтомского дом 26</v>
          </cell>
          <cell r="N108">
            <v>2944545.0999999996</v>
          </cell>
          <cell r="O108">
            <v>2896509.3</v>
          </cell>
        </row>
        <row r="109">
          <cell r="M109" t="str">
            <v>Ул. Ухтомского дом 26/2</v>
          </cell>
          <cell r="N109">
            <v>862461.24</v>
          </cell>
          <cell r="O109">
            <v>849418.79</v>
          </cell>
        </row>
        <row r="110">
          <cell r="M110" t="str">
            <v>Ул. Ухтомского дом 28</v>
          </cell>
          <cell r="N110">
            <v>1369600.56</v>
          </cell>
          <cell r="O110">
            <v>1414806.83</v>
          </cell>
        </row>
        <row r="111">
          <cell r="M111" t="str">
            <v>Ул. Ухтомского дом 30</v>
          </cell>
          <cell r="N111">
            <v>1315485.42</v>
          </cell>
          <cell r="O111">
            <v>1264537.28</v>
          </cell>
        </row>
        <row r="112">
          <cell r="M112" t="str">
            <v>Ул. Ухтомского дом 30/2</v>
          </cell>
          <cell r="N112">
            <v>1157289.3</v>
          </cell>
          <cell r="O112">
            <v>1107409.9099999999</v>
          </cell>
        </row>
        <row r="113">
          <cell r="M113" t="str">
            <v>Ул. 1-я Строителей дом 42</v>
          </cell>
          <cell r="N113">
            <v>268635.89999999997</v>
          </cell>
          <cell r="O113">
            <v>265961.95</v>
          </cell>
        </row>
        <row r="114">
          <cell r="M114" t="str">
            <v>Ул. 1-я Строителей дом 44</v>
          </cell>
          <cell r="N114">
            <v>309222.59999999998</v>
          </cell>
          <cell r="O114">
            <v>294687.95</v>
          </cell>
        </row>
        <row r="115">
          <cell r="M115" t="str">
            <v>Ул. 1-я Строителей дом 46</v>
          </cell>
          <cell r="N115">
            <v>495028.95</v>
          </cell>
          <cell r="O115">
            <v>453796.17000000004</v>
          </cell>
        </row>
        <row r="116">
          <cell r="M116" t="str">
            <v>Ул. Грозненская дом 67/1</v>
          </cell>
          <cell r="N116">
            <v>867489.24</v>
          </cell>
          <cell r="O116">
            <v>937579.37999999989</v>
          </cell>
        </row>
        <row r="117">
          <cell r="M117" t="str">
            <v>Ул. Грозненская дом 67/2</v>
          </cell>
          <cell r="N117">
            <v>431314.8</v>
          </cell>
          <cell r="O117">
            <v>439371.89</v>
          </cell>
        </row>
        <row r="118">
          <cell r="M118" t="str">
            <v>Ул. Грозненская дом 67/3</v>
          </cell>
          <cell r="N118">
            <v>755378.88</v>
          </cell>
          <cell r="O118">
            <v>756957.48</v>
          </cell>
        </row>
        <row r="119">
          <cell r="M119" t="str">
            <v>Ул. Грозненская дом 67/4</v>
          </cell>
          <cell r="N119">
            <v>382795.2</v>
          </cell>
          <cell r="O119">
            <v>412233.45999999996</v>
          </cell>
        </row>
        <row r="120">
          <cell r="M120" t="str">
            <v>Ул. Грозненская дом 67/5</v>
          </cell>
          <cell r="N120">
            <v>867242.28</v>
          </cell>
          <cell r="O120">
            <v>924399.19000000006</v>
          </cell>
        </row>
        <row r="121">
          <cell r="M121" t="str">
            <v>Ул. Грозненская дом 69/7</v>
          </cell>
          <cell r="N121">
            <v>2670898.3200000003</v>
          </cell>
          <cell r="O121">
            <v>2625383.7800000003</v>
          </cell>
        </row>
        <row r="122">
          <cell r="M122" t="str">
            <v>Ул. Грозненская дом 71/1</v>
          </cell>
          <cell r="N122">
            <v>1205371.3700000001</v>
          </cell>
          <cell r="O122">
            <v>1317462.1599999999</v>
          </cell>
        </row>
        <row r="123">
          <cell r="M123" t="str">
            <v>Ул. Левитана дом 14/4</v>
          </cell>
          <cell r="N123">
            <v>426230.01</v>
          </cell>
          <cell r="O123">
            <v>423994.68</v>
          </cell>
        </row>
        <row r="124">
          <cell r="M124" t="str">
            <v>Ул. Левитана дом 14/5</v>
          </cell>
          <cell r="N124">
            <v>500127.9</v>
          </cell>
          <cell r="O124">
            <v>496654.94</v>
          </cell>
        </row>
        <row r="125">
          <cell r="M125" t="str">
            <v>Ул. Левитана дом 14/6</v>
          </cell>
          <cell r="N125">
            <v>567147.4</v>
          </cell>
          <cell r="O125">
            <v>544809.67000000004</v>
          </cell>
        </row>
        <row r="126">
          <cell r="M126" t="str">
            <v>Ул. Левитана дом 22</v>
          </cell>
          <cell r="N126">
            <v>1552241.64</v>
          </cell>
          <cell r="O126">
            <v>1558314.21</v>
          </cell>
        </row>
        <row r="127">
          <cell r="M127" t="str">
            <v>Ул. Левитана дом 22/1</v>
          </cell>
          <cell r="N127">
            <v>504416.43</v>
          </cell>
          <cell r="O127">
            <v>487536.04</v>
          </cell>
        </row>
        <row r="128">
          <cell r="M128" t="str">
            <v>Ул. Левитана дом 22/2</v>
          </cell>
          <cell r="N128">
            <v>560355.57999999996</v>
          </cell>
          <cell r="O128">
            <v>605295.39999999991</v>
          </cell>
        </row>
        <row r="129">
          <cell r="M129" t="str">
            <v>Ул. Левитана дом 36</v>
          </cell>
          <cell r="N129">
            <v>1403424</v>
          </cell>
          <cell r="O129">
            <v>1405377.2400000002</v>
          </cell>
        </row>
        <row r="130">
          <cell r="M130" t="str">
            <v>Ул. Левитана дом 36/1</v>
          </cell>
          <cell r="N130">
            <v>1206128.6100000001</v>
          </cell>
          <cell r="O130">
            <v>1206694.0900000001</v>
          </cell>
        </row>
        <row r="131">
          <cell r="M131" t="str">
            <v>Ул. Левитана дом 38</v>
          </cell>
          <cell r="N131">
            <v>922365.58000000007</v>
          </cell>
          <cell r="O131">
            <v>925523.16</v>
          </cell>
        </row>
        <row r="132">
          <cell r="M132" t="str">
            <v>Ул. Левитана дом 38/1</v>
          </cell>
          <cell r="N132">
            <v>371986.4</v>
          </cell>
          <cell r="O132">
            <v>353805.37</v>
          </cell>
        </row>
        <row r="133">
          <cell r="M133" t="str">
            <v>Ул. Левитана дом 38/2</v>
          </cell>
          <cell r="N133">
            <v>495642.6</v>
          </cell>
          <cell r="O133">
            <v>475575.98</v>
          </cell>
        </row>
        <row r="134">
          <cell r="M134" t="str">
            <v>Ул. Левитана дом 38/3</v>
          </cell>
          <cell r="N134">
            <v>1957230.3</v>
          </cell>
          <cell r="O134">
            <v>1830604.42</v>
          </cell>
        </row>
        <row r="135">
          <cell r="M135" t="str">
            <v>Ул. Левитана дом 71</v>
          </cell>
          <cell r="N135">
            <v>1073334.92</v>
          </cell>
          <cell r="O135">
            <v>1061735.45</v>
          </cell>
        </row>
        <row r="136">
          <cell r="M136" t="str">
            <v>Ул. Минская дом 58</v>
          </cell>
          <cell r="N136">
            <v>472230.84</v>
          </cell>
          <cell r="O136">
            <v>447677.74</v>
          </cell>
        </row>
        <row r="137">
          <cell r="M137" t="str">
            <v>Ул. Новороссийская дом 2</v>
          </cell>
          <cell r="N137">
            <v>473525.97</v>
          </cell>
          <cell r="O137">
            <v>331276.15000000002</v>
          </cell>
        </row>
        <row r="138">
          <cell r="M138" t="str">
            <v>Ул. Правды дом 25</v>
          </cell>
          <cell r="N138">
            <v>2574233.4700000002</v>
          </cell>
          <cell r="O138">
            <v>2489842.2599999998</v>
          </cell>
        </row>
        <row r="139">
          <cell r="M139" t="str">
            <v>Ул. Правды дом 25/1</v>
          </cell>
          <cell r="N139">
            <v>302068.2</v>
          </cell>
          <cell r="O139">
            <v>305493.65000000002</v>
          </cell>
        </row>
        <row r="140">
          <cell r="M140" t="str">
            <v>Ул. Правды дом 25/2</v>
          </cell>
          <cell r="N140">
            <v>1133366.3999999999</v>
          </cell>
          <cell r="O140">
            <v>1141893.7</v>
          </cell>
        </row>
        <row r="141">
          <cell r="M141" t="str">
            <v>Ул. Правды дом 31/1</v>
          </cell>
          <cell r="N141">
            <v>738525.77</v>
          </cell>
          <cell r="O141">
            <v>714407.35000000009</v>
          </cell>
        </row>
        <row r="142">
          <cell r="M142" t="str">
            <v>Ул. Правды дом 37/1</v>
          </cell>
          <cell r="N142">
            <v>2074707.24</v>
          </cell>
          <cell r="O142">
            <v>2021705.9100000001</v>
          </cell>
        </row>
        <row r="143">
          <cell r="M143" t="str">
            <v>Ул. Дагестанская дом 5</v>
          </cell>
          <cell r="N143">
            <v>227854.36</v>
          </cell>
          <cell r="O143">
            <v>205097.16</v>
          </cell>
        </row>
        <row r="144">
          <cell r="M144" t="str">
            <v>Ул. Левитана дом 3</v>
          </cell>
          <cell r="N144">
            <v>306624.02</v>
          </cell>
          <cell r="O144">
            <v>352130.96</v>
          </cell>
        </row>
        <row r="145">
          <cell r="M145" t="str">
            <v>Ул. Левитана дом 5</v>
          </cell>
          <cell r="N145">
            <v>341288.04</v>
          </cell>
          <cell r="O145">
            <v>353582.95</v>
          </cell>
        </row>
        <row r="146">
          <cell r="M146" t="str">
            <v>Ул. Левитана дом 7/А</v>
          </cell>
          <cell r="N146">
            <v>111616.24</v>
          </cell>
          <cell r="O146">
            <v>111856.21</v>
          </cell>
        </row>
        <row r="147">
          <cell r="M147" t="str">
            <v>Ул. Левитана дом 9</v>
          </cell>
          <cell r="N147">
            <v>187267.44</v>
          </cell>
          <cell r="O147">
            <v>167987.69</v>
          </cell>
        </row>
        <row r="148">
          <cell r="M148" t="str">
            <v>Ул. Левитана дом 9/А</v>
          </cell>
          <cell r="N148">
            <v>108086.04</v>
          </cell>
          <cell r="O148">
            <v>107482.34</v>
          </cell>
        </row>
        <row r="149">
          <cell r="M149" t="str">
            <v>Ул. Левитана дом 13</v>
          </cell>
          <cell r="N149">
            <v>266255</v>
          </cell>
          <cell r="O149">
            <v>230381.87</v>
          </cell>
        </row>
        <row r="150">
          <cell r="M150" t="str">
            <v>Ул. Левитана дом 15</v>
          </cell>
          <cell r="N150">
            <v>147859.74</v>
          </cell>
          <cell r="O150">
            <v>110320.71</v>
          </cell>
        </row>
        <row r="151">
          <cell r="M151" t="str">
            <v>Ул. Левитана дом 17</v>
          </cell>
          <cell r="N151">
            <v>141354.23999999999</v>
          </cell>
          <cell r="O151">
            <v>150163.89000000001</v>
          </cell>
        </row>
        <row r="152">
          <cell r="M152" t="str">
            <v>Ул. Левитана дом 19</v>
          </cell>
          <cell r="N152">
            <v>141864.78</v>
          </cell>
          <cell r="O152">
            <v>127054.29</v>
          </cell>
        </row>
        <row r="153">
          <cell r="M153" t="str">
            <v>Ул. Левитана дом 21</v>
          </cell>
          <cell r="N153">
            <v>112670.3</v>
          </cell>
          <cell r="O153">
            <v>103201.69</v>
          </cell>
        </row>
        <row r="154">
          <cell r="M154" t="str">
            <v>Ул. Левитана дом 23</v>
          </cell>
          <cell r="N154">
            <v>115094.64</v>
          </cell>
          <cell r="O154">
            <v>99979.54</v>
          </cell>
        </row>
        <row r="155">
          <cell r="M155" t="str">
            <v>Ул. Локомотивная дом 2</v>
          </cell>
          <cell r="N155">
            <v>20589.919999999998</v>
          </cell>
          <cell r="O155">
            <v>21721.59</v>
          </cell>
        </row>
        <row r="156">
          <cell r="M156" t="str">
            <v>Ул. Локомотивная дом 4</v>
          </cell>
          <cell r="N156">
            <v>21589.5</v>
          </cell>
          <cell r="O156">
            <v>21444.75</v>
          </cell>
        </row>
        <row r="157">
          <cell r="M157" t="str">
            <v>Ул. Локомотивная дом 6</v>
          </cell>
          <cell r="N157">
            <v>41221.58</v>
          </cell>
          <cell r="O157">
            <v>38277</v>
          </cell>
        </row>
        <row r="158">
          <cell r="M158" t="str">
            <v>Ул. Локомотивная дом 26</v>
          </cell>
          <cell r="N158">
            <v>29171.88</v>
          </cell>
          <cell r="O158">
            <v>27163.73</v>
          </cell>
        </row>
        <row r="159">
          <cell r="M159" t="str">
            <v>Ул. Мусы Джалиля дом 4</v>
          </cell>
          <cell r="N159">
            <v>86524.38</v>
          </cell>
          <cell r="O159">
            <v>75766.509999999995</v>
          </cell>
        </row>
        <row r="160">
          <cell r="M160" t="str">
            <v>Ул. Мусы Джалиля дом 6</v>
          </cell>
          <cell r="N160">
            <v>158967.07999999999</v>
          </cell>
          <cell r="O160">
            <v>117691.53</v>
          </cell>
        </row>
        <row r="161">
          <cell r="M161" t="str">
            <v>Ул. Мусы Джалиля дом 8</v>
          </cell>
          <cell r="N161">
            <v>78555.28</v>
          </cell>
          <cell r="O161">
            <v>70744.25</v>
          </cell>
        </row>
        <row r="162">
          <cell r="M162" t="str">
            <v>Ул. Мусы Джалиля дом 10</v>
          </cell>
          <cell r="N162">
            <v>210753.94</v>
          </cell>
          <cell r="O162">
            <v>245554.35</v>
          </cell>
        </row>
        <row r="163">
          <cell r="M163" t="str">
            <v>Ул. Правды дом 12</v>
          </cell>
          <cell r="N163">
            <v>283695.93</v>
          </cell>
          <cell r="O163">
            <v>234173.4</v>
          </cell>
        </row>
        <row r="164">
          <cell r="M164" t="str">
            <v>Ул. Рядовая дом 2</v>
          </cell>
          <cell r="N164">
            <v>113325.62</v>
          </cell>
          <cell r="O164">
            <v>100139.49</v>
          </cell>
        </row>
        <row r="165">
          <cell r="M165" t="str">
            <v>Ул. Рядовая дом 3</v>
          </cell>
          <cell r="N165">
            <v>97473.72</v>
          </cell>
          <cell r="O165">
            <v>81617.17</v>
          </cell>
        </row>
        <row r="166">
          <cell r="M166" t="str">
            <v>Ул. Рядовая дом 3/1</v>
          </cell>
          <cell r="N166">
            <v>152158.20000000001</v>
          </cell>
          <cell r="O166">
            <v>144483.66</v>
          </cell>
        </row>
        <row r="167">
          <cell r="M167" t="str">
            <v>Ул. Рядовая дом 5</v>
          </cell>
          <cell r="N167">
            <v>108444.48</v>
          </cell>
          <cell r="O167">
            <v>110502.28</v>
          </cell>
        </row>
        <row r="168">
          <cell r="M168" t="str">
            <v>Ул. Рядовая дом 5/1</v>
          </cell>
          <cell r="N168">
            <v>173949.26</v>
          </cell>
          <cell r="O168">
            <v>171151.2</v>
          </cell>
        </row>
        <row r="169">
          <cell r="M169" t="str">
            <v>Ул. Рядовая дом 7</v>
          </cell>
          <cell r="N169">
            <v>127019.3</v>
          </cell>
          <cell r="O169">
            <v>137595.59</v>
          </cell>
        </row>
        <row r="170">
          <cell r="M170" t="str">
            <v>Ул. Рядовая дом 7/1</v>
          </cell>
          <cell r="N170">
            <v>184660.72</v>
          </cell>
          <cell r="O170">
            <v>176066.31</v>
          </cell>
        </row>
        <row r="171">
          <cell r="M171" t="str">
            <v>Ул. Таллинская дом 2/1</v>
          </cell>
          <cell r="N171">
            <v>147240.29999999999</v>
          </cell>
          <cell r="O171">
            <v>136823.72</v>
          </cell>
        </row>
        <row r="172">
          <cell r="M172" t="str">
            <v>Ул. Таллинская дом 3/1</v>
          </cell>
          <cell r="N172">
            <v>241326.3</v>
          </cell>
          <cell r="O172">
            <v>229810.75</v>
          </cell>
        </row>
        <row r="173">
          <cell r="M173" t="str">
            <v>Ул. Таллинская дом 3/А</v>
          </cell>
          <cell r="N173">
            <v>89219.56</v>
          </cell>
          <cell r="O173">
            <v>76790.39</v>
          </cell>
        </row>
        <row r="174">
          <cell r="M174" t="str">
            <v>Ул. Таллинская дом 3/Б</v>
          </cell>
          <cell r="N174">
            <v>83974.840000000011</v>
          </cell>
          <cell r="O174">
            <v>84443.97</v>
          </cell>
        </row>
        <row r="177">
          <cell r="M177" t="str">
            <v>Ул. Таллинская дом 16</v>
          </cell>
          <cell r="N177">
            <v>150042.9</v>
          </cell>
          <cell r="O177">
            <v>143697.57999999999</v>
          </cell>
        </row>
        <row r="178">
          <cell r="M178" t="str">
            <v>Ул. Таллинская дом 18</v>
          </cell>
          <cell r="N178">
            <v>189666.11</v>
          </cell>
          <cell r="O178">
            <v>124826.89</v>
          </cell>
        </row>
        <row r="179">
          <cell r="M179" t="str">
            <v>Ул. Таллинская дом 20</v>
          </cell>
          <cell r="N179">
            <v>160228.14000000001</v>
          </cell>
          <cell r="O179">
            <v>147378.5</v>
          </cell>
        </row>
        <row r="180">
          <cell r="M180" t="str">
            <v>Ул. Таллинская дом 22</v>
          </cell>
          <cell r="N180">
            <v>127541.54</v>
          </cell>
          <cell r="O180">
            <v>120211.51</v>
          </cell>
        </row>
        <row r="181">
          <cell r="M181" t="str">
            <v>Ул. Таллинская дом 24</v>
          </cell>
          <cell r="N181">
            <v>163386.29999999999</v>
          </cell>
          <cell r="O181">
            <v>158069.6</v>
          </cell>
        </row>
        <row r="182">
          <cell r="M182" t="str">
            <v>Ул. Таллинская дом 26</v>
          </cell>
          <cell r="N182">
            <v>156776.11000000002</v>
          </cell>
          <cell r="O182">
            <v>149165.91</v>
          </cell>
        </row>
        <row r="183">
          <cell r="M183" t="str">
            <v>Ул. Таллинская дом 28</v>
          </cell>
          <cell r="N183">
            <v>150335.26</v>
          </cell>
          <cell r="O183">
            <v>153293.95000000001</v>
          </cell>
        </row>
        <row r="184">
          <cell r="M184" t="str">
            <v>Ул. Ухтомского дом 5</v>
          </cell>
          <cell r="N184">
            <v>135778.9</v>
          </cell>
          <cell r="O184">
            <v>124813.65</v>
          </cell>
        </row>
        <row r="185">
          <cell r="M185" t="str">
            <v>Ул. Центральная дом 2</v>
          </cell>
          <cell r="N185">
            <v>246504.24</v>
          </cell>
          <cell r="O185">
            <v>267464.01</v>
          </cell>
        </row>
        <row r="186">
          <cell r="M186" t="str">
            <v>Ул. Центральная дом 4</v>
          </cell>
          <cell r="N186">
            <v>195499.22</v>
          </cell>
          <cell r="O186">
            <v>201620.15</v>
          </cell>
        </row>
        <row r="187">
          <cell r="M187" t="str">
            <v>Ул. Центральная дом 4/А</v>
          </cell>
          <cell r="N187">
            <v>98585.12</v>
          </cell>
          <cell r="O187">
            <v>131106.29999999999</v>
          </cell>
        </row>
        <row r="188">
          <cell r="M188" t="str">
            <v>Ул. Центральная дом 6</v>
          </cell>
          <cell r="N188">
            <v>195450.9</v>
          </cell>
          <cell r="O188">
            <v>192226.57</v>
          </cell>
        </row>
        <row r="189">
          <cell r="M189" t="str">
            <v>Ул. Центральная дом 8</v>
          </cell>
          <cell r="N189">
            <v>306215.36</v>
          </cell>
          <cell r="O189">
            <v>254543.1</v>
          </cell>
        </row>
        <row r="190">
          <cell r="M190" t="str">
            <v>Ул. Центральная дом 10</v>
          </cell>
          <cell r="N190">
            <v>172680.1</v>
          </cell>
          <cell r="O190">
            <v>224462.13</v>
          </cell>
        </row>
        <row r="191">
          <cell r="M191" t="str">
            <v>Ул. Центральная дом 12</v>
          </cell>
          <cell r="N191">
            <v>164084.56</v>
          </cell>
          <cell r="O191">
            <v>124393.96</v>
          </cell>
        </row>
        <row r="192">
          <cell r="M192" t="str">
            <v>Ул. Центральная дом 12/А</v>
          </cell>
          <cell r="N192">
            <v>112400.3</v>
          </cell>
          <cell r="O192">
            <v>112473.78</v>
          </cell>
        </row>
        <row r="193">
          <cell r="M193" t="str">
            <v>Ул. Центральная дом 14</v>
          </cell>
          <cell r="N193">
            <v>267410.74</v>
          </cell>
          <cell r="O193">
            <v>270900.67</v>
          </cell>
        </row>
        <row r="194">
          <cell r="M194" t="str">
            <v>Ул. Центральная дом 14/А</v>
          </cell>
          <cell r="N194">
            <v>177081.58</v>
          </cell>
          <cell r="O194">
            <v>161568.76</v>
          </cell>
        </row>
        <row r="195">
          <cell r="M195" t="str">
            <v>Ул. Центральная дом 16</v>
          </cell>
          <cell r="N195">
            <v>261118.96</v>
          </cell>
          <cell r="O195">
            <v>262938.65999999997</v>
          </cell>
        </row>
        <row r="196">
          <cell r="M196" t="str">
            <v>Ул. Центральная дом 22</v>
          </cell>
          <cell r="N196">
            <v>98962.74</v>
          </cell>
          <cell r="O196">
            <v>94577.04</v>
          </cell>
        </row>
        <row r="197">
          <cell r="M197" t="str">
            <v>Ул. Центральная дом 22/А</v>
          </cell>
          <cell r="N197">
            <v>124622.32</v>
          </cell>
          <cell r="O197">
            <v>121445.95</v>
          </cell>
        </row>
        <row r="198">
          <cell r="M198" t="str">
            <v>Ул. Центральная дом 28</v>
          </cell>
          <cell r="N198">
            <v>166085.26999999999</v>
          </cell>
          <cell r="O198">
            <v>158163.98000000001</v>
          </cell>
        </row>
        <row r="199">
          <cell r="M199" t="str">
            <v>Ул. Центральная дом 30</v>
          </cell>
          <cell r="N199">
            <v>221686.42</v>
          </cell>
          <cell r="O199">
            <v>176957.22</v>
          </cell>
        </row>
        <row r="200">
          <cell r="M200" t="str">
            <v>Ул. Центральная дом 34</v>
          </cell>
          <cell r="N200">
            <v>107201.62</v>
          </cell>
          <cell r="O200">
            <v>106289.08</v>
          </cell>
        </row>
        <row r="201">
          <cell r="M201" t="str">
            <v>Ул. Альшеевская дом 10</v>
          </cell>
          <cell r="N201">
            <v>155563.79999999999</v>
          </cell>
          <cell r="O201">
            <v>157807.6</v>
          </cell>
        </row>
        <row r="202">
          <cell r="M202" t="str">
            <v>Ул. Альшеевская дом 12</v>
          </cell>
          <cell r="N202">
            <v>95104.9</v>
          </cell>
          <cell r="O202">
            <v>79715.37</v>
          </cell>
        </row>
        <row r="203">
          <cell r="M203" t="str">
            <v>Ул. Альшеевская дом 12/А</v>
          </cell>
          <cell r="N203">
            <v>33777.040000000001</v>
          </cell>
          <cell r="O203">
            <v>33447.56</v>
          </cell>
        </row>
        <row r="204">
          <cell r="M204" t="str">
            <v>Ул. Альшеевская дом 14</v>
          </cell>
          <cell r="N204">
            <v>82068.600000000006</v>
          </cell>
          <cell r="O204">
            <v>72140.23</v>
          </cell>
        </row>
        <row r="205">
          <cell r="M205" t="str">
            <v>Ул. Альшеевская дом 14/А</v>
          </cell>
          <cell r="N205">
            <v>29547.86</v>
          </cell>
          <cell r="O205">
            <v>28491.21</v>
          </cell>
        </row>
        <row r="206">
          <cell r="M206" t="str">
            <v>Ул. Альшеевская дом 15</v>
          </cell>
          <cell r="N206">
            <v>41943.96</v>
          </cell>
          <cell r="O206">
            <v>43493.14</v>
          </cell>
        </row>
        <row r="207">
          <cell r="M207" t="str">
            <v>Ул. Альшеевская дом 20/А</v>
          </cell>
          <cell r="N207">
            <v>30456.78</v>
          </cell>
          <cell r="O207">
            <v>28277.53</v>
          </cell>
        </row>
        <row r="208">
          <cell r="M208" t="str">
            <v>Ул. Альшеевская дом 32/A</v>
          </cell>
          <cell r="N208">
            <v>25614.54</v>
          </cell>
          <cell r="O208">
            <v>24533.72</v>
          </cell>
        </row>
        <row r="209">
          <cell r="M209" t="str">
            <v>Ул. Аургазинская дом 8</v>
          </cell>
          <cell r="N209">
            <v>60270.78</v>
          </cell>
          <cell r="O209">
            <v>51193.1</v>
          </cell>
        </row>
        <row r="210">
          <cell r="M210" t="str">
            <v>Ул. Левитана дом 8</v>
          </cell>
          <cell r="N210">
            <v>230087.48</v>
          </cell>
          <cell r="O210">
            <v>256659.59</v>
          </cell>
        </row>
        <row r="211">
          <cell r="M211" t="str">
            <v>Ул. Магистральная дом 7</v>
          </cell>
          <cell r="N211">
            <v>97842.26</v>
          </cell>
          <cell r="O211">
            <v>86511.05</v>
          </cell>
        </row>
        <row r="212">
          <cell r="M212" t="str">
            <v>Ул. Магистральная дом 7/A</v>
          </cell>
          <cell r="N212">
            <v>21836.16</v>
          </cell>
          <cell r="O212">
            <v>23367.45</v>
          </cell>
        </row>
        <row r="213">
          <cell r="M213" t="str">
            <v>Ул. Магистральная дом 9</v>
          </cell>
          <cell r="N213">
            <v>77250.460000000006</v>
          </cell>
          <cell r="O213">
            <v>41175.24</v>
          </cell>
        </row>
        <row r="214">
          <cell r="M214" t="str">
            <v>Ул. Магистральная дом 9/A</v>
          </cell>
          <cell r="N214">
            <v>50450.22</v>
          </cell>
          <cell r="O214">
            <v>77825.64</v>
          </cell>
        </row>
        <row r="215">
          <cell r="M215" t="str">
            <v>Ул. Магистральная дом 11</v>
          </cell>
          <cell r="N215">
            <v>10193.17</v>
          </cell>
          <cell r="O215">
            <v>0</v>
          </cell>
        </row>
        <row r="216">
          <cell r="M216" t="str">
            <v>Ул. Магистральная дом 11/A</v>
          </cell>
          <cell r="N216">
            <v>5446.9500000000007</v>
          </cell>
          <cell r="O216">
            <v>52062.27</v>
          </cell>
        </row>
        <row r="217">
          <cell r="M217" t="str">
            <v>Ул. Магистральная дом 12/1</v>
          </cell>
          <cell r="N217">
            <v>75227.039999999994</v>
          </cell>
          <cell r="O217">
            <v>61106.15</v>
          </cell>
        </row>
        <row r="218">
          <cell r="M218" t="str">
            <v>Ул. Магистральная дом 17</v>
          </cell>
          <cell r="N218">
            <v>37215.32</v>
          </cell>
          <cell r="O218">
            <v>37843.32</v>
          </cell>
        </row>
        <row r="219">
          <cell r="M219" t="str">
            <v>Ул. Магистральная дом 36</v>
          </cell>
          <cell r="N219">
            <v>83139.02</v>
          </cell>
          <cell r="O219">
            <v>83884.600000000006</v>
          </cell>
        </row>
        <row r="220">
          <cell r="M220" t="str">
            <v>Ул. Туринская дом 2А</v>
          </cell>
          <cell r="N220">
            <v>37227.310000000005</v>
          </cell>
          <cell r="O220">
            <v>19688.97</v>
          </cell>
        </row>
        <row r="221">
          <cell r="M221" t="str">
            <v>Ул. Туринская дом 2Б</v>
          </cell>
          <cell r="N221">
            <v>60787.21</v>
          </cell>
          <cell r="O221">
            <v>55075</v>
          </cell>
        </row>
        <row r="222">
          <cell r="M222" t="str">
            <v>Ул. Ухтомского дом 21</v>
          </cell>
          <cell r="N222">
            <v>101856.16</v>
          </cell>
          <cell r="O222">
            <v>91209.29</v>
          </cell>
        </row>
        <row r="223">
          <cell r="M223" t="str">
            <v>Ул. Ухтомского дом 23</v>
          </cell>
          <cell r="N223">
            <v>97309.66</v>
          </cell>
          <cell r="O223">
            <v>79717.52</v>
          </cell>
        </row>
        <row r="224">
          <cell r="M224" t="str">
            <v>Ул. Юматовская дом 2/Б</v>
          </cell>
          <cell r="N224">
            <v>116893.45999999999</v>
          </cell>
          <cell r="O224">
            <v>118991.11</v>
          </cell>
        </row>
        <row r="226">
          <cell r="M226" t="str">
            <v>Ул. Левитана дом 37</v>
          </cell>
          <cell r="N226">
            <v>140405.92000000001</v>
          </cell>
          <cell r="O226">
            <v>128492.61</v>
          </cell>
        </row>
        <row r="227">
          <cell r="M227" t="str">
            <v>Ул. Левитана дом 39</v>
          </cell>
          <cell r="N227">
            <v>66619.839999999997</v>
          </cell>
          <cell r="O227">
            <v>76538.960000000006</v>
          </cell>
        </row>
        <row r="228">
          <cell r="M228" t="str">
            <v>Ул. Левитана дом 39/А</v>
          </cell>
          <cell r="N228">
            <v>87675.02</v>
          </cell>
          <cell r="O228">
            <v>114896.07</v>
          </cell>
        </row>
        <row r="229">
          <cell r="M229" t="str">
            <v>Ул. Левитана дом 41</v>
          </cell>
          <cell r="N229">
            <v>107015.84</v>
          </cell>
          <cell r="O229">
            <v>168007.1</v>
          </cell>
        </row>
        <row r="230">
          <cell r="M230" t="str">
            <v>Ул. Левитана дом 41/А</v>
          </cell>
          <cell r="N230">
            <v>117559.98</v>
          </cell>
          <cell r="O230">
            <v>98015.33</v>
          </cell>
        </row>
        <row r="231">
          <cell r="M231" t="str">
            <v>Ул. Левитана дом 41/Б</v>
          </cell>
          <cell r="N231">
            <v>98245.92</v>
          </cell>
          <cell r="O231">
            <v>85225.24</v>
          </cell>
        </row>
        <row r="232">
          <cell r="M232" t="str">
            <v>Ул. Левитана дом 43</v>
          </cell>
          <cell r="N232">
            <v>105049.78</v>
          </cell>
          <cell r="O232">
            <v>85777.54</v>
          </cell>
        </row>
        <row r="233">
          <cell r="M233" t="str">
            <v>Ул. Левитана дом 43/А</v>
          </cell>
          <cell r="N233">
            <v>107293.86</v>
          </cell>
          <cell r="O233">
            <v>100158.94</v>
          </cell>
        </row>
        <row r="234">
          <cell r="M234" t="str">
            <v>Ул. Мусы Джалиля дом 5</v>
          </cell>
          <cell r="N234">
            <v>156655.34</v>
          </cell>
          <cell r="O234">
            <v>167627.35</v>
          </cell>
        </row>
        <row r="235">
          <cell r="M235" t="str">
            <v>Ул. Новороссийская дом 4</v>
          </cell>
          <cell r="N235">
            <v>69436.98</v>
          </cell>
          <cell r="O235">
            <v>65793.919999999998</v>
          </cell>
        </row>
        <row r="236">
          <cell r="M236" t="str">
            <v>Ул. Новороссийская дом 6</v>
          </cell>
          <cell r="N236">
            <v>77210.62</v>
          </cell>
          <cell r="O236">
            <v>72407.53</v>
          </cell>
        </row>
        <row r="237">
          <cell r="M237" t="str">
            <v>Ул. Новороссийская дом 8</v>
          </cell>
          <cell r="N237">
            <v>98823.46</v>
          </cell>
          <cell r="O237">
            <v>104679.37</v>
          </cell>
        </row>
        <row r="238">
          <cell r="M238" t="str">
            <v>Ул. Новороссийская дом 10</v>
          </cell>
          <cell r="N238">
            <v>98125.22</v>
          </cell>
          <cell r="O238">
            <v>92458.15</v>
          </cell>
        </row>
        <row r="239">
          <cell r="M239" t="str">
            <v>Ул. Рядовая дом 9</v>
          </cell>
          <cell r="N239">
            <v>106993.66</v>
          </cell>
          <cell r="O239">
            <v>88325.5</v>
          </cell>
        </row>
        <row r="240">
          <cell r="M240" t="str">
            <v>Ул. Рядовая дом 10</v>
          </cell>
          <cell r="N240">
            <v>94079.64</v>
          </cell>
          <cell r="O240">
            <v>95763.75</v>
          </cell>
        </row>
        <row r="241">
          <cell r="M241" t="str">
            <v>Ул. Рядовая дом 11</v>
          </cell>
          <cell r="N241">
            <v>108381.18</v>
          </cell>
          <cell r="O241">
            <v>102972.16</v>
          </cell>
        </row>
        <row r="242">
          <cell r="M242" t="str">
            <v>Ул. Рядовая дом 12</v>
          </cell>
          <cell r="N242">
            <v>108485.66</v>
          </cell>
          <cell r="O242">
            <v>93167.78</v>
          </cell>
        </row>
        <row r="243">
          <cell r="M243" t="str">
            <v>Ул. Рядовая дом 13</v>
          </cell>
          <cell r="N243">
            <v>134313.66</v>
          </cell>
          <cell r="O243">
            <v>105321.4</v>
          </cell>
        </row>
        <row r="244">
          <cell r="M244" t="str">
            <v>Ул. Рядовая дом 15</v>
          </cell>
          <cell r="N244">
            <v>142760.44</v>
          </cell>
          <cell r="O244">
            <v>160284.21</v>
          </cell>
        </row>
        <row r="245">
          <cell r="M245" t="str">
            <v>Ул. Центральная дом 31/1</v>
          </cell>
          <cell r="N245">
            <v>35332.300000000003</v>
          </cell>
          <cell r="O245">
            <v>34214.589999999997</v>
          </cell>
        </row>
        <row r="246">
          <cell r="M246" t="str">
            <v>Ул. Центральная дом 38</v>
          </cell>
          <cell r="N246">
            <v>128842.28</v>
          </cell>
          <cell r="O246">
            <v>117440.49</v>
          </cell>
        </row>
        <row r="247">
          <cell r="M247" t="str">
            <v>Ул. Центральная дом 40</v>
          </cell>
          <cell r="N247">
            <v>123116.49</v>
          </cell>
          <cell r="O247">
            <v>116790.53</v>
          </cell>
        </row>
        <row r="248">
          <cell r="M248" t="str">
            <v>Ул. Центральная дом 42</v>
          </cell>
          <cell r="N248">
            <v>104669.58</v>
          </cell>
          <cell r="O248">
            <v>93129.05</v>
          </cell>
        </row>
        <row r="249">
          <cell r="M249" t="str">
            <v>Ул. Центральная дом 44</v>
          </cell>
          <cell r="N249">
            <v>122925.96</v>
          </cell>
          <cell r="O249">
            <v>113287.8</v>
          </cell>
        </row>
        <row r="250">
          <cell r="M250" t="str">
            <v>Ул. Центральная дом 51</v>
          </cell>
          <cell r="N250">
            <v>173187.62</v>
          </cell>
          <cell r="O250">
            <v>195026.83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Лист1"/>
      <sheetName val="Центр 34"/>
      <sheetName val="Центр 30"/>
      <sheetName val="Центр 28"/>
      <sheetName val="Центр 22-а"/>
      <sheetName val="Центр 22"/>
      <sheetName val="Центр 18-1"/>
      <sheetName val="Центр 16"/>
      <sheetName val="Центр 14-а"/>
      <sheetName val="Центр 14"/>
      <sheetName val="Центр 12-а"/>
      <sheetName val="Центр 12"/>
      <sheetName val="Центр 10"/>
      <sheetName val="Центр 8"/>
      <sheetName val="Центр 6-1"/>
      <sheetName val="Центр 6"/>
      <sheetName val="Центр 4-а"/>
      <sheetName val="Центр 4"/>
      <sheetName val="Центр 2"/>
      <sheetName val="Центр 1-2"/>
      <sheetName val="-Ухт 13"/>
      <sheetName val="Ухт 5"/>
      <sheetName val="Тал 28-1"/>
      <sheetName val="Тал 28"/>
      <sheetName val="Тал 26-1"/>
      <sheetName val="Тал 26"/>
      <sheetName val="Тал 24-1"/>
      <sheetName val="Тал 24"/>
      <sheetName val="Тал 22"/>
      <sheetName val="Тал 20"/>
      <sheetName val="Тал 18"/>
      <sheetName val="Тал 16"/>
      <sheetName val="Тал 14"/>
      <sheetName val="Тал 7"/>
      <sheetName val="Тал 6"/>
      <sheetName val="Тал 4"/>
      <sheetName val="Тал 3-б"/>
      <sheetName val="Тал 3-а"/>
      <sheetName val="Тал 3-1"/>
      <sheetName val="Тал 2-1"/>
      <sheetName val="Ряд 7-1"/>
      <sheetName val="Ряд 7"/>
      <sheetName val="Ряд 5-1"/>
      <sheetName val="Ряд 5"/>
      <sheetName val="Ряд 3-1"/>
      <sheetName val="Ряд 3"/>
      <sheetName val="Ряд 2"/>
      <sheetName val="Пр 15"/>
      <sheetName val="Пр 13"/>
      <sheetName val="Пр 12"/>
      <sheetName val="Пр 11"/>
      <sheetName val="Пр 10-а"/>
      <sheetName val="Пр 10"/>
      <sheetName val="Пр 8-1"/>
      <sheetName val="Пр 8-а"/>
      <sheetName val="Пр 8"/>
      <sheetName val="Пр 6а"/>
      <sheetName val="Пр 6"/>
      <sheetName val="Пр 4-1"/>
      <sheetName val="Пр 4"/>
      <sheetName val="Пр 3"/>
      <sheetName val="Пр 2"/>
      <sheetName val="Пр 1"/>
      <sheetName val="М.Дж 10"/>
      <sheetName val="М.Дж 8"/>
      <sheetName val="М.Дж 6"/>
      <sheetName val="М.Дж 4"/>
      <sheetName val="Лок 26"/>
      <sheetName val="Лок 6"/>
      <sheetName val="Лок 4"/>
      <sheetName val="Лок 2"/>
      <sheetName val="Лев 23"/>
      <sheetName val="Лев 21а"/>
      <sheetName val="Лев 21"/>
      <sheetName val="Лев 20"/>
      <sheetName val="Лев 19"/>
      <sheetName val="Лев 17"/>
      <sheetName val="Лев 15"/>
      <sheetName val="Лев 14-3"/>
      <sheetName val="Лев 14-2"/>
      <sheetName val="Лев 14-1"/>
      <sheetName val="Лев 13"/>
      <sheetName val="Лев 9а"/>
      <sheetName val="Лев 9"/>
      <sheetName val="Лев 7а"/>
      <sheetName val="Лев 7"/>
      <sheetName val="Лев 5"/>
      <sheetName val="Лев 3"/>
      <sheetName val="Даг 13"/>
      <sheetName val="Даг 11"/>
      <sheetName val="Даг 9-1"/>
      <sheetName val="Даг 9"/>
      <sheetName val="Даг 7"/>
      <sheetName val="Даг 5"/>
    </sheetNames>
    <sheetDataSet>
      <sheetData sheetId="0">
        <row r="1">
          <cell r="M1" t="str">
            <v xml:space="preserve">Не трогать! Идет в отчет </v>
          </cell>
          <cell r="N1">
            <v>132871710.76000001</v>
          </cell>
          <cell r="O1">
            <v>131277874.77999997</v>
          </cell>
          <cell r="T1" t="str">
            <v>коэффициент</v>
          </cell>
        </row>
        <row r="2">
          <cell r="M2" t="str">
            <v>С ЕРКЦ</v>
          </cell>
          <cell r="N2" t="str">
            <v>Постоянные начисления-разовые</v>
          </cell>
          <cell r="O2" t="str">
            <v>Оплата</v>
          </cell>
          <cell r="S2" t="str">
            <v xml:space="preserve"> - услуги объединенной диспетчерской службы (ОДС)</v>
          </cell>
          <cell r="T2">
            <v>4.6249048341643242</v>
          </cell>
        </row>
        <row r="3">
          <cell r="M3" t="str">
            <v>Ул. Дагестанская дом 11/1</v>
          </cell>
          <cell r="N3">
            <v>1522487.7999999998</v>
          </cell>
          <cell r="O3">
            <v>1442812.6</v>
          </cell>
          <cell r="S3" t="str">
            <v xml:space="preserve"> - услуги аварийной  службы (АДС)</v>
          </cell>
          <cell r="T3">
            <v>16.144712120762971</v>
          </cell>
        </row>
        <row r="4">
          <cell r="M4" t="str">
            <v>Ул. Дагестанская дом 13/1</v>
          </cell>
          <cell r="N4">
            <v>1664667.45</v>
          </cell>
          <cell r="O4">
            <v>1662682.27</v>
          </cell>
        </row>
        <row r="5">
          <cell r="M5" t="str">
            <v>Ул. Дагестанская дом 13/2</v>
          </cell>
          <cell r="N5">
            <v>871034.78</v>
          </cell>
          <cell r="O5">
            <v>882990.17</v>
          </cell>
          <cell r="T5" t="str">
            <v>*умнож. На S</v>
          </cell>
        </row>
        <row r="6">
          <cell r="M6" t="str">
            <v>Ул. Дагестанская дом 15</v>
          </cell>
          <cell r="N6">
            <v>779395.08000000007</v>
          </cell>
          <cell r="O6">
            <v>747439.42999999993</v>
          </cell>
        </row>
        <row r="7">
          <cell r="M7" t="str">
            <v>Ул. Дагестанская дом 16</v>
          </cell>
          <cell r="N7">
            <v>1368014.3199999998</v>
          </cell>
          <cell r="O7">
            <v>1313270.1599999999</v>
          </cell>
        </row>
        <row r="8">
          <cell r="M8" t="str">
            <v>Ул. Дагестанская дом 17</v>
          </cell>
          <cell r="N8">
            <v>446208.48</v>
          </cell>
          <cell r="O8">
            <v>437668.09</v>
          </cell>
        </row>
        <row r="9">
          <cell r="M9" t="str">
            <v>Ул. Дагестанская дом 19</v>
          </cell>
          <cell r="N9">
            <v>726887.46</v>
          </cell>
          <cell r="O9">
            <v>718893.08</v>
          </cell>
        </row>
        <row r="10">
          <cell r="M10" t="str">
            <v>Ул. Дагестанская дом 27</v>
          </cell>
          <cell r="N10">
            <v>1309989.5999999999</v>
          </cell>
          <cell r="O10">
            <v>1265585.44</v>
          </cell>
        </row>
        <row r="11">
          <cell r="M11" t="str">
            <v>Ул. Магистральная дом 6</v>
          </cell>
          <cell r="N11">
            <v>1904705.5999999999</v>
          </cell>
          <cell r="O11">
            <v>1876237.36</v>
          </cell>
        </row>
        <row r="12">
          <cell r="M12" t="str">
            <v>Ул. Мусоргского дом 7</v>
          </cell>
          <cell r="N12">
            <v>454862.33999999997</v>
          </cell>
          <cell r="O12">
            <v>435569.64</v>
          </cell>
        </row>
        <row r="13">
          <cell r="M13" t="str">
            <v>Ул. Мусоргского дом 9</v>
          </cell>
          <cell r="N13">
            <v>629096.15999999992</v>
          </cell>
          <cell r="O13">
            <v>602965.66999999993</v>
          </cell>
        </row>
        <row r="14">
          <cell r="M14" t="str">
            <v>Ул. Мусоргского дом 9/А</v>
          </cell>
          <cell r="N14">
            <v>536036.6</v>
          </cell>
          <cell r="O14">
            <v>506731.56</v>
          </cell>
        </row>
        <row r="15">
          <cell r="M15" t="str">
            <v>Ул. Мусоргского дом 11</v>
          </cell>
          <cell r="N15">
            <v>697741.32</v>
          </cell>
          <cell r="O15">
            <v>669265.25</v>
          </cell>
        </row>
        <row r="16">
          <cell r="M16" t="str">
            <v>Ул. Мусоргского дом 13</v>
          </cell>
          <cell r="N16">
            <v>590086.80000000005</v>
          </cell>
          <cell r="O16">
            <v>582908.30000000005</v>
          </cell>
        </row>
        <row r="17">
          <cell r="M17" t="str">
            <v>Ул. Мусоргского дом 13а</v>
          </cell>
          <cell r="N17">
            <v>703759.04</v>
          </cell>
          <cell r="O17">
            <v>688061.30999999994</v>
          </cell>
        </row>
        <row r="18">
          <cell r="M18" t="str">
            <v>Ул. Мусоргского дом 15</v>
          </cell>
          <cell r="N18">
            <v>554462.38</v>
          </cell>
          <cell r="O18">
            <v>484935.08</v>
          </cell>
        </row>
        <row r="19">
          <cell r="M19" t="str">
            <v>Ул. Мусоргского дом 15/А</v>
          </cell>
          <cell r="N19">
            <v>525988.76</v>
          </cell>
          <cell r="O19">
            <v>479907.32999999996</v>
          </cell>
        </row>
        <row r="20">
          <cell r="M20" t="str">
            <v>Ул. Мусоргского дом 17</v>
          </cell>
          <cell r="N20">
            <v>667524.88</v>
          </cell>
          <cell r="O20">
            <v>724217.25</v>
          </cell>
        </row>
        <row r="21">
          <cell r="M21" t="str">
            <v>Ул. Мусоргского дом 19/1</v>
          </cell>
          <cell r="N21">
            <v>806722.26</v>
          </cell>
          <cell r="O21">
            <v>782243.8600000001</v>
          </cell>
        </row>
        <row r="22">
          <cell r="M22" t="str">
            <v>Ул. Мусоргского дом 19/А</v>
          </cell>
          <cell r="N22">
            <v>539293.31999999995</v>
          </cell>
          <cell r="O22">
            <v>539213.04999999993</v>
          </cell>
        </row>
        <row r="23">
          <cell r="M23" t="str">
            <v>Ул. Мусоргского дом 19б</v>
          </cell>
          <cell r="N23">
            <v>517846.18</v>
          </cell>
          <cell r="O23">
            <v>522619.92</v>
          </cell>
        </row>
        <row r="24">
          <cell r="M24" t="str">
            <v>Ул. Мусоргского дом 21/1</v>
          </cell>
          <cell r="N24">
            <v>800254.67999999993</v>
          </cell>
          <cell r="O24">
            <v>792025.5</v>
          </cell>
        </row>
        <row r="25">
          <cell r="M25" t="str">
            <v>Ул. Мусоргского дом 23</v>
          </cell>
          <cell r="N25">
            <v>1607797.2200000002</v>
          </cell>
          <cell r="O25">
            <v>1558614.08</v>
          </cell>
        </row>
        <row r="26">
          <cell r="M26" t="str">
            <v>Ул. Мусоргского дом 25</v>
          </cell>
          <cell r="N26">
            <v>648077.60000000009</v>
          </cell>
          <cell r="O26">
            <v>642771.93999999994</v>
          </cell>
        </row>
        <row r="27">
          <cell r="M27" t="str">
            <v>Ул. Мусоргского дом 25/1</v>
          </cell>
          <cell r="N27">
            <v>848819.4</v>
          </cell>
          <cell r="O27">
            <v>854618.03</v>
          </cell>
        </row>
        <row r="28">
          <cell r="M28" t="str">
            <v>Ул. Правды дом 18</v>
          </cell>
          <cell r="N28">
            <v>1386013.32</v>
          </cell>
          <cell r="O28">
            <v>1407210.88</v>
          </cell>
        </row>
        <row r="29">
          <cell r="M29" t="str">
            <v>Ул. Правды дом 18/1</v>
          </cell>
          <cell r="N29">
            <v>668829.48</v>
          </cell>
          <cell r="O29">
            <v>700390.52</v>
          </cell>
        </row>
        <row r="30">
          <cell r="M30" t="str">
            <v>Ул. Правды дом 18/2</v>
          </cell>
          <cell r="N30">
            <v>441984.46</v>
          </cell>
          <cell r="O30">
            <v>484434.24</v>
          </cell>
        </row>
        <row r="31">
          <cell r="M31" t="str">
            <v>Ул. Правды дом 18/3</v>
          </cell>
          <cell r="N31">
            <v>869889.38000000012</v>
          </cell>
          <cell r="O31">
            <v>802652.5</v>
          </cell>
        </row>
        <row r="32">
          <cell r="M32" t="str">
            <v>Ул. Правды дом 20</v>
          </cell>
          <cell r="N32">
            <v>1048812.04</v>
          </cell>
          <cell r="O32">
            <v>1028552.72</v>
          </cell>
        </row>
        <row r="33">
          <cell r="M33" t="str">
            <v>Ул. Правды дом 20/1</v>
          </cell>
          <cell r="N33">
            <v>666692.34000000008</v>
          </cell>
          <cell r="O33">
            <v>655057.41999999993</v>
          </cell>
        </row>
        <row r="34">
          <cell r="M34" t="str">
            <v>Ул. Правды дом 20/2</v>
          </cell>
          <cell r="N34">
            <v>496178.2</v>
          </cell>
          <cell r="O34">
            <v>501463.72000000003</v>
          </cell>
        </row>
        <row r="35">
          <cell r="M35" t="str">
            <v>Ул. Правды дом 20/3</v>
          </cell>
          <cell r="N35">
            <v>523308.61</v>
          </cell>
          <cell r="O35">
            <v>516113.12</v>
          </cell>
        </row>
        <row r="36">
          <cell r="M36" t="str">
            <v>Ул. Таллинская дом 21</v>
          </cell>
          <cell r="N36">
            <v>651221.1</v>
          </cell>
          <cell r="O36">
            <v>646780.7300000001</v>
          </cell>
        </row>
        <row r="37">
          <cell r="M37" t="str">
            <v>Ул. Таллинская дом 21/А</v>
          </cell>
          <cell r="N37">
            <v>318864.10000000003</v>
          </cell>
          <cell r="O37">
            <v>300036.29000000004</v>
          </cell>
        </row>
        <row r="38">
          <cell r="M38" t="str">
            <v>Ул. Таллинская дом 21/Б</v>
          </cell>
          <cell r="N38">
            <v>441279.28</v>
          </cell>
          <cell r="O38">
            <v>468176.91</v>
          </cell>
        </row>
        <row r="40">
          <cell r="M40" t="str">
            <v>Ул. Таллинская дом 23</v>
          </cell>
          <cell r="N40">
            <v>522071.76</v>
          </cell>
          <cell r="O40">
            <v>511893.37</v>
          </cell>
        </row>
        <row r="41">
          <cell r="M41" t="str">
            <v>Ул. Таллинская дом 23/А</v>
          </cell>
          <cell r="N41">
            <v>674953.6</v>
          </cell>
          <cell r="O41">
            <v>655946.35</v>
          </cell>
        </row>
        <row r="42">
          <cell r="M42" t="str">
            <v>Ул. Таллинская дом 23/Б</v>
          </cell>
          <cell r="N42">
            <v>390348.06999999995</v>
          </cell>
          <cell r="O42">
            <v>332820.7</v>
          </cell>
        </row>
        <row r="45">
          <cell r="M45" t="str">
            <v>Ул. Дагестанская дом 15/1</v>
          </cell>
          <cell r="N45">
            <v>1025927.56</v>
          </cell>
          <cell r="O45">
            <v>1141483.8600000001</v>
          </cell>
        </row>
        <row r="46">
          <cell r="M46" t="str">
            <v>Ул. Дагестанская дом 17/1</v>
          </cell>
          <cell r="N46">
            <v>1683980.7599999998</v>
          </cell>
          <cell r="O46">
            <v>1673325.6500000001</v>
          </cell>
        </row>
        <row r="47">
          <cell r="M47" t="str">
            <v>Ул. Дагестанская дом 31</v>
          </cell>
          <cell r="N47">
            <v>583740.12</v>
          </cell>
          <cell r="O47">
            <v>581771.71</v>
          </cell>
        </row>
        <row r="48">
          <cell r="M48" t="str">
            <v>Ул. Мусоргского дом 21</v>
          </cell>
          <cell r="N48">
            <v>500288.52</v>
          </cell>
          <cell r="O48">
            <v>496645.77</v>
          </cell>
        </row>
        <row r="49">
          <cell r="M49" t="str">
            <v>Ул. Дагестанская дом 7</v>
          </cell>
          <cell r="N49">
            <v>288320.76</v>
          </cell>
          <cell r="O49">
            <v>307424.43</v>
          </cell>
        </row>
        <row r="50">
          <cell r="M50" t="str">
            <v>Ул. Дагестанская дом 9</v>
          </cell>
          <cell r="N50">
            <v>325613.37000000005</v>
          </cell>
          <cell r="O50">
            <v>269364.33999999997</v>
          </cell>
        </row>
        <row r="51">
          <cell r="M51" t="str">
            <v>Ул. Дагестанская дом 9/1</v>
          </cell>
          <cell r="N51">
            <v>130564.32</v>
          </cell>
          <cell r="O51">
            <v>131422.06</v>
          </cell>
        </row>
        <row r="52">
          <cell r="M52" t="str">
            <v>Ул. Дагестанская дом 11</v>
          </cell>
          <cell r="N52">
            <v>324557.04000000004</v>
          </cell>
          <cell r="O52">
            <v>337170.29000000004</v>
          </cell>
        </row>
        <row r="53">
          <cell r="M53" t="str">
            <v>Ул. Дагестанская дом 13</v>
          </cell>
          <cell r="N53">
            <v>263263.89999999997</v>
          </cell>
          <cell r="O53">
            <v>276130.94</v>
          </cell>
        </row>
        <row r="54">
          <cell r="M54" t="str">
            <v>Ул. Левитана дом 7</v>
          </cell>
          <cell r="N54">
            <v>379457.68000000005</v>
          </cell>
          <cell r="O54">
            <v>383572.86000000004</v>
          </cell>
        </row>
        <row r="55">
          <cell r="M55" t="str">
            <v>Ул. Левитана дом 14/1</v>
          </cell>
          <cell r="N55">
            <v>708021.1399999999</v>
          </cell>
          <cell r="O55">
            <v>791846.8899999999</v>
          </cell>
        </row>
        <row r="56">
          <cell r="M56" t="str">
            <v>Ул. Левитана дом 14/2</v>
          </cell>
          <cell r="N56">
            <v>712075.84</v>
          </cell>
          <cell r="O56">
            <v>675188.72</v>
          </cell>
        </row>
        <row r="57">
          <cell r="M57" t="str">
            <v>Ул. Левитана дом 14/3</v>
          </cell>
          <cell r="N57">
            <v>699129.06</v>
          </cell>
          <cell r="O57">
            <v>704304.6</v>
          </cell>
        </row>
        <row r="58">
          <cell r="M58" t="str">
            <v>Ул. Левитана дом 20</v>
          </cell>
          <cell r="N58">
            <v>1646397.48</v>
          </cell>
          <cell r="O58">
            <v>1697920.65</v>
          </cell>
        </row>
        <row r="59">
          <cell r="M59" t="str">
            <v>Ул. Левитана дом 21/А</v>
          </cell>
          <cell r="N59">
            <v>248190.02</v>
          </cell>
          <cell r="O59">
            <v>237934.37</v>
          </cell>
        </row>
        <row r="60">
          <cell r="M60" t="str">
            <v>Ул. Правды дом 1</v>
          </cell>
          <cell r="N60">
            <v>889138.05999999994</v>
          </cell>
          <cell r="O60">
            <v>828864.26</v>
          </cell>
        </row>
        <row r="61">
          <cell r="M61" t="str">
            <v>Ул. Правды дом 2</v>
          </cell>
          <cell r="N61">
            <v>235249.88</v>
          </cell>
          <cell r="O61">
            <v>229578.48</v>
          </cell>
        </row>
        <row r="62">
          <cell r="M62" t="str">
            <v>Ул. Правды дом 3</v>
          </cell>
          <cell r="N62">
            <v>458371.08</v>
          </cell>
          <cell r="O62">
            <v>439632.57</v>
          </cell>
        </row>
        <row r="63">
          <cell r="M63" t="str">
            <v>Ул. Правды дом 4</v>
          </cell>
          <cell r="N63">
            <v>298914.37999999995</v>
          </cell>
          <cell r="O63">
            <v>295780.15999999997</v>
          </cell>
        </row>
        <row r="64">
          <cell r="M64" t="str">
            <v>Ул. Правды дом 4/1</v>
          </cell>
          <cell r="N64">
            <v>403827.74</v>
          </cell>
          <cell r="O64">
            <v>390813.39</v>
          </cell>
        </row>
        <row r="65">
          <cell r="M65" t="str">
            <v>Ул. Правды дом 6</v>
          </cell>
          <cell r="N65">
            <v>327472.95</v>
          </cell>
          <cell r="O65">
            <v>249400.92</v>
          </cell>
        </row>
        <row r="66">
          <cell r="M66" t="str">
            <v>Ул. Правды дом 6/А</v>
          </cell>
          <cell r="N66">
            <v>223946.38</v>
          </cell>
          <cell r="O66">
            <v>195151.26</v>
          </cell>
        </row>
        <row r="67">
          <cell r="M67" t="str">
            <v>Ул. Правды дом 8</v>
          </cell>
          <cell r="N67">
            <v>276492.44</v>
          </cell>
          <cell r="O67">
            <v>291987.71999999997</v>
          </cell>
        </row>
        <row r="68">
          <cell r="M68" t="str">
            <v>Ул. Правды дом 8/1</v>
          </cell>
          <cell r="N68">
            <v>362491.12</v>
          </cell>
          <cell r="O68">
            <v>338480.57</v>
          </cell>
        </row>
        <row r="69">
          <cell r="M69" t="str">
            <v>Ул. Правды дом 8/А</v>
          </cell>
          <cell r="N69">
            <v>275378.40000000002</v>
          </cell>
          <cell r="O69">
            <v>272032.94</v>
          </cell>
        </row>
        <row r="70">
          <cell r="M70" t="str">
            <v>Ул. Правды дом 10</v>
          </cell>
          <cell r="N70">
            <v>189175.08</v>
          </cell>
          <cell r="O70">
            <v>198392.79</v>
          </cell>
        </row>
        <row r="71">
          <cell r="M71" t="str">
            <v>Ул. Правды дом 10/А</v>
          </cell>
          <cell r="N71">
            <v>259140.96</v>
          </cell>
          <cell r="O71">
            <v>285436.53000000003</v>
          </cell>
        </row>
        <row r="72">
          <cell r="M72" t="str">
            <v>Ул. Правды дом 11</v>
          </cell>
          <cell r="N72">
            <v>461639.28</v>
          </cell>
          <cell r="O72">
            <v>448222.27</v>
          </cell>
        </row>
        <row r="73">
          <cell r="M73" t="str">
            <v>Ул. Правды дом 13</v>
          </cell>
          <cell r="N73">
            <v>374789.28</v>
          </cell>
          <cell r="O73">
            <v>365350.86</v>
          </cell>
        </row>
        <row r="74">
          <cell r="M74" t="str">
            <v>Ул. Правды дом 15</v>
          </cell>
          <cell r="N74">
            <v>968209.22</v>
          </cell>
          <cell r="O74">
            <v>932069.77</v>
          </cell>
        </row>
        <row r="75">
          <cell r="M75" t="str">
            <v>Ул. Таллинская дом 4</v>
          </cell>
          <cell r="N75">
            <v>770207.21000000008</v>
          </cell>
          <cell r="O75">
            <v>819761.2699999999</v>
          </cell>
        </row>
        <row r="76">
          <cell r="M76" t="str">
            <v>Ул. Таллинская дом 6</v>
          </cell>
          <cell r="N76">
            <v>404719.56</v>
          </cell>
          <cell r="O76">
            <v>436243.68</v>
          </cell>
        </row>
        <row r="77">
          <cell r="M77" t="str">
            <v>Ул. Таллинская дом 7</v>
          </cell>
          <cell r="N77">
            <v>446170.58</v>
          </cell>
          <cell r="O77">
            <v>431290.48</v>
          </cell>
        </row>
        <row r="78">
          <cell r="M78" t="str">
            <v>Ул. Таллинская дом 14</v>
          </cell>
          <cell r="N78">
            <v>271837.42</v>
          </cell>
          <cell r="O78">
            <v>296422.17</v>
          </cell>
        </row>
        <row r="79">
          <cell r="M79" t="str">
            <v>Ул. Таллинская дом 24/1</v>
          </cell>
          <cell r="N79">
            <v>555268.1</v>
          </cell>
          <cell r="O79">
            <v>535942.07999999996</v>
          </cell>
        </row>
        <row r="80">
          <cell r="M80" t="str">
            <v>Ул. Таллинская дом 26/1</v>
          </cell>
          <cell r="N80">
            <v>407171.34</v>
          </cell>
          <cell r="O80">
            <v>414656.83000000007</v>
          </cell>
        </row>
        <row r="81">
          <cell r="M81" t="str">
            <v>Ул. Таллинская дом 28/1</v>
          </cell>
          <cell r="N81">
            <v>387597.88</v>
          </cell>
          <cell r="O81">
            <v>401397.9</v>
          </cell>
        </row>
        <row r="82">
          <cell r="M82" t="str">
            <v>Ул. Центральная дом 1</v>
          </cell>
          <cell r="N82">
            <v>20599.919999999998</v>
          </cell>
          <cell r="O82">
            <v>24817.48</v>
          </cell>
        </row>
        <row r="83">
          <cell r="M83" t="str">
            <v>Ул. Центральная дом 1/2</v>
          </cell>
          <cell r="N83">
            <v>1024122.76</v>
          </cell>
          <cell r="O83">
            <v>1076250.95</v>
          </cell>
        </row>
        <row r="84">
          <cell r="M84" t="str">
            <v>Ул. Центральная дом 3</v>
          </cell>
          <cell r="N84">
            <v>15218.32</v>
          </cell>
          <cell r="O84">
            <v>15069.8</v>
          </cell>
        </row>
        <row r="85">
          <cell r="M85" t="str">
            <v>Ул. Центральная дом 6/1</v>
          </cell>
          <cell r="N85">
            <v>552409.16</v>
          </cell>
          <cell r="O85">
            <v>509056.35000000003</v>
          </cell>
        </row>
        <row r="86">
          <cell r="M86" t="str">
            <v>Ул. Центральная дом 18/1</v>
          </cell>
          <cell r="N86">
            <v>298973.18</v>
          </cell>
          <cell r="O86">
            <v>302628.07</v>
          </cell>
        </row>
        <row r="87">
          <cell r="M87" t="str">
            <v>Ул. Магистральная дом 20/1</v>
          </cell>
          <cell r="N87">
            <v>689532</v>
          </cell>
          <cell r="O87">
            <v>705035.97</v>
          </cell>
        </row>
        <row r="88">
          <cell r="M88" t="str">
            <v>Ул. Магистральная дом 27</v>
          </cell>
          <cell r="N88">
            <v>1738836.48</v>
          </cell>
          <cell r="O88">
            <v>1720246.25</v>
          </cell>
        </row>
        <row r="89">
          <cell r="M89" t="str">
            <v>Ул. Мусы Джалиля дом 64</v>
          </cell>
          <cell r="N89">
            <v>2074082.07</v>
          </cell>
          <cell r="O89">
            <v>1835514.36</v>
          </cell>
        </row>
        <row r="90">
          <cell r="M90" t="str">
            <v>Ул. Мусы Джалиля дом 66</v>
          </cell>
          <cell r="N90">
            <v>2445318.5499999998</v>
          </cell>
          <cell r="O90">
            <v>2451363.9</v>
          </cell>
        </row>
        <row r="91">
          <cell r="M91" t="str">
            <v>Ул. Мусы Джалиля дом 68</v>
          </cell>
          <cell r="N91">
            <v>2030405.22</v>
          </cell>
          <cell r="O91">
            <v>1993153.96</v>
          </cell>
        </row>
        <row r="92">
          <cell r="M92" t="str">
            <v>Ул. Мусы Джалиля дом 68/1</v>
          </cell>
          <cell r="N92">
            <v>1460996.56</v>
          </cell>
          <cell r="O92">
            <v>1423608.98</v>
          </cell>
        </row>
        <row r="93">
          <cell r="M93" t="str">
            <v>Ул. Мусы Джалиля дом 72/1</v>
          </cell>
          <cell r="N93">
            <v>870747.42</v>
          </cell>
          <cell r="O93">
            <v>940735.97</v>
          </cell>
        </row>
        <row r="94">
          <cell r="M94" t="str">
            <v>Ул. Мусы Джалиля дом 74</v>
          </cell>
          <cell r="N94">
            <v>3842750.04</v>
          </cell>
          <cell r="O94">
            <v>3897433.72</v>
          </cell>
        </row>
        <row r="95">
          <cell r="M95" t="str">
            <v>Ул. Мусы Джалиля дом 74/1</v>
          </cell>
          <cell r="N95">
            <v>1557628.68</v>
          </cell>
          <cell r="O95">
            <v>1473099.78</v>
          </cell>
        </row>
        <row r="96">
          <cell r="M96" t="str">
            <v>Ул. Мусы Джалиля дом 74/3</v>
          </cell>
          <cell r="N96">
            <v>472989.81999999995</v>
          </cell>
          <cell r="O96">
            <v>437363.93999999994</v>
          </cell>
        </row>
        <row r="97">
          <cell r="M97" t="str">
            <v>Ул. Островского дом 16/1</v>
          </cell>
          <cell r="N97">
            <v>2197040.71</v>
          </cell>
          <cell r="O97">
            <v>2278521.77</v>
          </cell>
        </row>
        <row r="98">
          <cell r="M98" t="str">
            <v>Ул. Островского дом 18/1</v>
          </cell>
          <cell r="N98">
            <v>1513089.85</v>
          </cell>
          <cell r="O98">
            <v>1476211.68</v>
          </cell>
        </row>
        <row r="99">
          <cell r="M99" t="str">
            <v>Ул. Правды дом 21</v>
          </cell>
          <cell r="N99">
            <v>2473665.2400000002</v>
          </cell>
          <cell r="O99">
            <v>2448003.11</v>
          </cell>
        </row>
        <row r="100">
          <cell r="M100" t="str">
            <v>Ул. Правды дом 23</v>
          </cell>
          <cell r="N100">
            <v>866983.85</v>
          </cell>
          <cell r="O100">
            <v>887094.1100000001</v>
          </cell>
        </row>
        <row r="101">
          <cell r="M101" t="str">
            <v>Ул. Ухтомского дом 10</v>
          </cell>
          <cell r="N101">
            <v>1018464.26</v>
          </cell>
          <cell r="O101">
            <v>1061092.3700000001</v>
          </cell>
        </row>
        <row r="102">
          <cell r="M102" t="str">
            <v>Ул. Ухтомского дом 11</v>
          </cell>
          <cell r="N102">
            <v>947497.55999999994</v>
          </cell>
          <cell r="O102">
            <v>945786.02</v>
          </cell>
        </row>
        <row r="103">
          <cell r="M103" t="str">
            <v>Ул. Ухтомского дом 12</v>
          </cell>
          <cell r="N103">
            <v>2430874.04</v>
          </cell>
          <cell r="O103">
            <v>2440177.7199999997</v>
          </cell>
        </row>
        <row r="104">
          <cell r="M104" t="str">
            <v>Ул. Ухтомского дом 16</v>
          </cell>
          <cell r="N104">
            <v>1078466.3999999999</v>
          </cell>
          <cell r="O104">
            <v>1108091.3500000001</v>
          </cell>
        </row>
        <row r="105">
          <cell r="M105" t="str">
            <v>Ул. Ухтомского дом 20</v>
          </cell>
          <cell r="N105">
            <v>342920.24</v>
          </cell>
          <cell r="O105">
            <v>344176.05</v>
          </cell>
        </row>
        <row r="106">
          <cell r="M106" t="str">
            <v>Ул. Ухтомского дом 22</v>
          </cell>
          <cell r="N106">
            <v>1592704.48</v>
          </cell>
          <cell r="O106">
            <v>1670026.89</v>
          </cell>
        </row>
        <row r="107">
          <cell r="M107" t="str">
            <v>Ул. Ухтомского дом 24</v>
          </cell>
          <cell r="N107">
            <v>1337046.6400000001</v>
          </cell>
          <cell r="O107">
            <v>1312580.67</v>
          </cell>
        </row>
        <row r="108">
          <cell r="M108" t="str">
            <v>Ул. Ухтомского дом 26</v>
          </cell>
          <cell r="N108">
            <v>2944545.0999999996</v>
          </cell>
          <cell r="O108">
            <v>2896509.3</v>
          </cell>
        </row>
        <row r="109">
          <cell r="M109" t="str">
            <v>Ул. Ухтомского дом 26/2</v>
          </cell>
          <cell r="N109">
            <v>862461.24</v>
          </cell>
          <cell r="O109">
            <v>849418.79</v>
          </cell>
        </row>
        <row r="110">
          <cell r="M110" t="str">
            <v>Ул. Ухтомского дом 28</v>
          </cell>
          <cell r="N110">
            <v>1369600.56</v>
          </cell>
          <cell r="O110">
            <v>1414806.83</v>
          </cell>
        </row>
        <row r="111">
          <cell r="M111" t="str">
            <v>Ул. Ухтомского дом 30</v>
          </cell>
          <cell r="N111">
            <v>1315485.42</v>
          </cell>
          <cell r="O111">
            <v>1264537.28</v>
          </cell>
        </row>
        <row r="112">
          <cell r="M112" t="str">
            <v>Ул. Ухтомского дом 30/2</v>
          </cell>
          <cell r="N112">
            <v>1157289.3</v>
          </cell>
          <cell r="O112">
            <v>1107409.9099999999</v>
          </cell>
        </row>
        <row r="113">
          <cell r="M113" t="str">
            <v>Ул. 1-я Строителей дом 42</v>
          </cell>
          <cell r="N113">
            <v>268635.89999999997</v>
          </cell>
          <cell r="O113">
            <v>265961.95</v>
          </cell>
        </row>
        <row r="114">
          <cell r="M114" t="str">
            <v>Ул. 1-я Строителей дом 44</v>
          </cell>
          <cell r="N114">
            <v>309222.59999999998</v>
          </cell>
          <cell r="O114">
            <v>294687.95</v>
          </cell>
        </row>
        <row r="115">
          <cell r="M115" t="str">
            <v>Ул. 1-я Строителей дом 46</v>
          </cell>
          <cell r="N115">
            <v>495028.95</v>
          </cell>
          <cell r="O115">
            <v>453796.17000000004</v>
          </cell>
        </row>
        <row r="116">
          <cell r="M116" t="str">
            <v>Ул. Грозненская дом 67/1</v>
          </cell>
          <cell r="N116">
            <v>867489.24</v>
          </cell>
          <cell r="O116">
            <v>937579.37999999989</v>
          </cell>
        </row>
        <row r="117">
          <cell r="M117" t="str">
            <v>Ул. Грозненская дом 67/2</v>
          </cell>
          <cell r="N117">
            <v>431314.8</v>
          </cell>
          <cell r="O117">
            <v>439371.89</v>
          </cell>
        </row>
        <row r="118">
          <cell r="M118" t="str">
            <v>Ул. Грозненская дом 67/3</v>
          </cell>
          <cell r="N118">
            <v>755378.88</v>
          </cell>
          <cell r="O118">
            <v>756957.48</v>
          </cell>
        </row>
        <row r="119">
          <cell r="M119" t="str">
            <v>Ул. Грозненская дом 67/4</v>
          </cell>
          <cell r="N119">
            <v>382795.2</v>
          </cell>
          <cell r="O119">
            <v>412233.45999999996</v>
          </cell>
        </row>
        <row r="120">
          <cell r="M120" t="str">
            <v>Ул. Грозненская дом 67/5</v>
          </cell>
          <cell r="N120">
            <v>867242.28</v>
          </cell>
          <cell r="O120">
            <v>924399.19000000006</v>
          </cell>
        </row>
        <row r="121">
          <cell r="M121" t="str">
            <v>Ул. Грозненская дом 69/7</v>
          </cell>
          <cell r="N121">
            <v>2670898.3200000003</v>
          </cell>
          <cell r="O121">
            <v>2625383.7800000003</v>
          </cell>
        </row>
        <row r="122">
          <cell r="M122" t="str">
            <v>Ул. Грозненская дом 71/1</v>
          </cell>
          <cell r="N122">
            <v>1205371.3700000001</v>
          </cell>
          <cell r="O122">
            <v>1317462.1599999999</v>
          </cell>
        </row>
        <row r="123">
          <cell r="M123" t="str">
            <v>Ул. Левитана дом 14/4</v>
          </cell>
          <cell r="N123">
            <v>426230.01</v>
          </cell>
          <cell r="O123">
            <v>423994.68</v>
          </cell>
        </row>
        <row r="124">
          <cell r="M124" t="str">
            <v>Ул. Левитана дом 14/5</v>
          </cell>
          <cell r="N124">
            <v>500127.9</v>
          </cell>
          <cell r="O124">
            <v>496654.94</v>
          </cell>
        </row>
        <row r="125">
          <cell r="M125" t="str">
            <v>Ул. Левитана дом 14/6</v>
          </cell>
          <cell r="N125">
            <v>567147.4</v>
          </cell>
          <cell r="O125">
            <v>544809.67000000004</v>
          </cell>
        </row>
        <row r="126">
          <cell r="M126" t="str">
            <v>Ул. Левитана дом 22</v>
          </cell>
          <cell r="N126">
            <v>1552241.64</v>
          </cell>
          <cell r="O126">
            <v>1558314.21</v>
          </cell>
        </row>
        <row r="127">
          <cell r="M127" t="str">
            <v>Ул. Левитана дом 22/1</v>
          </cell>
          <cell r="N127">
            <v>504416.43</v>
          </cell>
          <cell r="O127">
            <v>487536.04</v>
          </cell>
        </row>
        <row r="128">
          <cell r="M128" t="str">
            <v>Ул. Левитана дом 22/2</v>
          </cell>
          <cell r="N128">
            <v>560355.57999999996</v>
          </cell>
          <cell r="O128">
            <v>605295.39999999991</v>
          </cell>
        </row>
        <row r="129">
          <cell r="M129" t="str">
            <v>Ул. Левитана дом 36</v>
          </cell>
          <cell r="N129">
            <v>1403424</v>
          </cell>
          <cell r="O129">
            <v>1405377.2400000002</v>
          </cell>
        </row>
        <row r="130">
          <cell r="M130" t="str">
            <v>Ул. Левитана дом 36/1</v>
          </cell>
          <cell r="N130">
            <v>1206128.6100000001</v>
          </cell>
          <cell r="O130">
            <v>1206694.0900000001</v>
          </cell>
        </row>
        <row r="131">
          <cell r="M131" t="str">
            <v>Ул. Левитана дом 38</v>
          </cell>
          <cell r="N131">
            <v>922365.58000000007</v>
          </cell>
          <cell r="O131">
            <v>925523.16</v>
          </cell>
        </row>
        <row r="132">
          <cell r="M132" t="str">
            <v>Ул. Левитана дом 38/1</v>
          </cell>
          <cell r="N132">
            <v>371986.4</v>
          </cell>
          <cell r="O132">
            <v>353805.37</v>
          </cell>
        </row>
        <row r="133">
          <cell r="M133" t="str">
            <v>Ул. Левитана дом 38/2</v>
          </cell>
          <cell r="N133">
            <v>495642.6</v>
          </cell>
          <cell r="O133">
            <v>475575.98</v>
          </cell>
        </row>
        <row r="134">
          <cell r="M134" t="str">
            <v>Ул. Левитана дом 38/3</v>
          </cell>
          <cell r="N134">
            <v>1957230.3</v>
          </cell>
          <cell r="O134">
            <v>1830604.42</v>
          </cell>
        </row>
        <row r="135">
          <cell r="M135" t="str">
            <v>Ул. Левитана дом 71</v>
          </cell>
          <cell r="N135">
            <v>1073334.92</v>
          </cell>
          <cell r="O135">
            <v>1061735.45</v>
          </cell>
        </row>
        <row r="136">
          <cell r="M136" t="str">
            <v>Ул. Минская дом 58</v>
          </cell>
          <cell r="N136">
            <v>472230.84</v>
          </cell>
          <cell r="O136">
            <v>447677.74</v>
          </cell>
        </row>
        <row r="137">
          <cell r="M137" t="str">
            <v>Ул. Новороссийская дом 2</v>
          </cell>
          <cell r="N137">
            <v>473525.97</v>
          </cell>
          <cell r="O137">
            <v>331276.15000000002</v>
          </cell>
        </row>
        <row r="138">
          <cell r="M138" t="str">
            <v>Ул. Правды дом 25</v>
          </cell>
          <cell r="N138">
            <v>2574233.4700000002</v>
          </cell>
          <cell r="O138">
            <v>2489842.2599999998</v>
          </cell>
        </row>
        <row r="139">
          <cell r="M139" t="str">
            <v>Ул. Правды дом 25/1</v>
          </cell>
          <cell r="N139">
            <v>302068.2</v>
          </cell>
          <cell r="O139">
            <v>305493.65000000002</v>
          </cell>
        </row>
        <row r="140">
          <cell r="M140" t="str">
            <v>Ул. Правды дом 25/2</v>
          </cell>
          <cell r="N140">
            <v>1133366.3999999999</v>
          </cell>
          <cell r="O140">
            <v>1141893.7</v>
          </cell>
        </row>
        <row r="141">
          <cell r="M141" t="str">
            <v>Ул. Правды дом 31/1</v>
          </cell>
          <cell r="N141">
            <v>738525.77</v>
          </cell>
          <cell r="O141">
            <v>714407.35000000009</v>
          </cell>
        </row>
        <row r="142">
          <cell r="M142" t="str">
            <v>Ул. Правды дом 37/1</v>
          </cell>
          <cell r="N142">
            <v>2074707.24</v>
          </cell>
          <cell r="O142">
            <v>2021705.9100000001</v>
          </cell>
        </row>
        <row r="143">
          <cell r="M143" t="str">
            <v>Ул. Дагестанская дом 5</v>
          </cell>
          <cell r="N143">
            <v>227854.36</v>
          </cell>
          <cell r="O143">
            <v>205097.16</v>
          </cell>
        </row>
        <row r="144">
          <cell r="M144" t="str">
            <v>Ул. Левитана дом 3</v>
          </cell>
          <cell r="N144">
            <v>306624.02</v>
          </cell>
          <cell r="O144">
            <v>352130.96</v>
          </cell>
        </row>
        <row r="145">
          <cell r="M145" t="str">
            <v>Ул. Левитана дом 5</v>
          </cell>
          <cell r="N145">
            <v>341288.04</v>
          </cell>
          <cell r="O145">
            <v>353582.95</v>
          </cell>
        </row>
        <row r="146">
          <cell r="M146" t="str">
            <v>Ул. Левитана дом 7/А</v>
          </cell>
          <cell r="N146">
            <v>111616.24</v>
          </cell>
          <cell r="O146">
            <v>111856.21</v>
          </cell>
        </row>
        <row r="147">
          <cell r="M147" t="str">
            <v>Ул. Левитана дом 9</v>
          </cell>
          <cell r="N147">
            <v>187267.44</v>
          </cell>
          <cell r="O147">
            <v>167987.69</v>
          </cell>
        </row>
        <row r="148">
          <cell r="M148" t="str">
            <v>Ул. Левитана дом 9/А</v>
          </cell>
          <cell r="N148">
            <v>108086.04</v>
          </cell>
          <cell r="O148">
            <v>107482.34</v>
          </cell>
        </row>
        <row r="149">
          <cell r="M149" t="str">
            <v>Ул. Левитана дом 13</v>
          </cell>
          <cell r="N149">
            <v>266255</v>
          </cell>
          <cell r="O149">
            <v>230381.87</v>
          </cell>
        </row>
        <row r="150">
          <cell r="M150" t="str">
            <v>Ул. Левитана дом 15</v>
          </cell>
          <cell r="N150">
            <v>147859.74</v>
          </cell>
          <cell r="O150">
            <v>110320.71</v>
          </cell>
        </row>
        <row r="151">
          <cell r="M151" t="str">
            <v>Ул. Левитана дом 17</v>
          </cell>
          <cell r="N151">
            <v>141354.23999999999</v>
          </cell>
          <cell r="O151">
            <v>150163.89000000001</v>
          </cell>
        </row>
        <row r="152">
          <cell r="M152" t="str">
            <v>Ул. Левитана дом 19</v>
          </cell>
          <cell r="N152">
            <v>141864.78</v>
          </cell>
          <cell r="O152">
            <v>127054.29</v>
          </cell>
        </row>
        <row r="153">
          <cell r="M153" t="str">
            <v>Ул. Левитана дом 21</v>
          </cell>
          <cell r="N153">
            <v>112670.3</v>
          </cell>
          <cell r="O153">
            <v>103201.69</v>
          </cell>
        </row>
        <row r="154">
          <cell r="M154" t="str">
            <v>Ул. Левитана дом 23</v>
          </cell>
          <cell r="N154">
            <v>115094.64</v>
          </cell>
          <cell r="O154">
            <v>99979.54</v>
          </cell>
        </row>
        <row r="155">
          <cell r="M155" t="str">
            <v>Ул. Локомотивная дом 2</v>
          </cell>
          <cell r="N155">
            <v>20589.919999999998</v>
          </cell>
          <cell r="O155">
            <v>21721.59</v>
          </cell>
        </row>
        <row r="156">
          <cell r="M156" t="str">
            <v>Ул. Локомотивная дом 4</v>
          </cell>
          <cell r="N156">
            <v>21589.5</v>
          </cell>
          <cell r="O156">
            <v>21444.75</v>
          </cell>
        </row>
        <row r="157">
          <cell r="M157" t="str">
            <v>Ул. Локомотивная дом 6</v>
          </cell>
          <cell r="N157">
            <v>41221.58</v>
          </cell>
          <cell r="O157">
            <v>38277</v>
          </cell>
        </row>
        <row r="158">
          <cell r="M158" t="str">
            <v>Ул. Локомотивная дом 26</v>
          </cell>
          <cell r="N158">
            <v>29171.88</v>
          </cell>
          <cell r="O158">
            <v>27163.73</v>
          </cell>
        </row>
        <row r="159">
          <cell r="M159" t="str">
            <v>Ул. Мусы Джалиля дом 4</v>
          </cell>
          <cell r="N159">
            <v>86524.38</v>
          </cell>
          <cell r="O159">
            <v>75766.509999999995</v>
          </cell>
        </row>
        <row r="160">
          <cell r="M160" t="str">
            <v>Ул. Мусы Джалиля дом 6</v>
          </cell>
          <cell r="N160">
            <v>158967.07999999999</v>
          </cell>
          <cell r="O160">
            <v>117691.53</v>
          </cell>
        </row>
        <row r="161">
          <cell r="M161" t="str">
            <v>Ул. Мусы Джалиля дом 8</v>
          </cell>
          <cell r="N161">
            <v>78555.28</v>
          </cell>
          <cell r="O161">
            <v>70744.25</v>
          </cell>
        </row>
        <row r="162">
          <cell r="M162" t="str">
            <v>Ул. Мусы Джалиля дом 10</v>
          </cell>
          <cell r="N162">
            <v>210753.94</v>
          </cell>
          <cell r="O162">
            <v>245554.35</v>
          </cell>
        </row>
        <row r="163">
          <cell r="M163" t="str">
            <v>Ул. Правды дом 12</v>
          </cell>
          <cell r="N163">
            <v>283695.93</v>
          </cell>
          <cell r="O163">
            <v>234173.4</v>
          </cell>
        </row>
        <row r="164">
          <cell r="M164" t="str">
            <v>Ул. Рядовая дом 2</v>
          </cell>
          <cell r="N164">
            <v>113325.62</v>
          </cell>
          <cell r="O164">
            <v>100139.49</v>
          </cell>
        </row>
        <row r="165">
          <cell r="M165" t="str">
            <v>Ул. Рядовая дом 3</v>
          </cell>
          <cell r="N165">
            <v>97473.72</v>
          </cell>
          <cell r="O165">
            <v>81617.17</v>
          </cell>
        </row>
        <row r="166">
          <cell r="M166" t="str">
            <v>Ул. Рядовая дом 3/1</v>
          </cell>
          <cell r="N166">
            <v>152158.20000000001</v>
          </cell>
          <cell r="O166">
            <v>144483.66</v>
          </cell>
        </row>
        <row r="167">
          <cell r="M167" t="str">
            <v>Ул. Рядовая дом 5</v>
          </cell>
          <cell r="N167">
            <v>108444.48</v>
          </cell>
          <cell r="O167">
            <v>110502.28</v>
          </cell>
        </row>
        <row r="168">
          <cell r="M168" t="str">
            <v>Ул. Рядовая дом 5/1</v>
          </cell>
          <cell r="N168">
            <v>173949.26</v>
          </cell>
          <cell r="O168">
            <v>171151.2</v>
          </cell>
        </row>
        <row r="169">
          <cell r="M169" t="str">
            <v>Ул. Рядовая дом 7</v>
          </cell>
          <cell r="N169">
            <v>127019.3</v>
          </cell>
          <cell r="O169">
            <v>137595.59</v>
          </cell>
        </row>
        <row r="170">
          <cell r="M170" t="str">
            <v>Ул. Рядовая дом 7/1</v>
          </cell>
          <cell r="N170">
            <v>184660.72</v>
          </cell>
          <cell r="O170">
            <v>176066.31</v>
          </cell>
        </row>
        <row r="171">
          <cell r="M171" t="str">
            <v>Ул. Таллинская дом 2/1</v>
          </cell>
          <cell r="N171">
            <v>147240.29999999999</v>
          </cell>
          <cell r="O171">
            <v>136823.72</v>
          </cell>
        </row>
        <row r="172">
          <cell r="M172" t="str">
            <v>Ул. Таллинская дом 3/1</v>
          </cell>
          <cell r="N172">
            <v>241326.3</v>
          </cell>
          <cell r="O172">
            <v>229810.75</v>
          </cell>
        </row>
        <row r="173">
          <cell r="M173" t="str">
            <v>Ул. Таллинская дом 3/А</v>
          </cell>
          <cell r="N173">
            <v>89219.56</v>
          </cell>
          <cell r="O173">
            <v>76790.39</v>
          </cell>
        </row>
        <row r="174">
          <cell r="M174" t="str">
            <v>Ул. Таллинская дом 3/Б</v>
          </cell>
          <cell r="N174">
            <v>83974.840000000011</v>
          </cell>
          <cell r="O174">
            <v>84443.97</v>
          </cell>
        </row>
        <row r="177">
          <cell r="M177" t="str">
            <v>Ул. Таллинская дом 16</v>
          </cell>
          <cell r="N177">
            <v>150042.9</v>
          </cell>
          <cell r="O177">
            <v>143697.57999999999</v>
          </cell>
        </row>
        <row r="178">
          <cell r="M178" t="str">
            <v>Ул. Таллинская дом 18</v>
          </cell>
          <cell r="N178">
            <v>189666.11</v>
          </cell>
          <cell r="O178">
            <v>124826.89</v>
          </cell>
        </row>
        <row r="179">
          <cell r="M179" t="str">
            <v>Ул. Таллинская дом 20</v>
          </cell>
          <cell r="N179">
            <v>160228.14000000001</v>
          </cell>
          <cell r="O179">
            <v>147378.5</v>
          </cell>
        </row>
        <row r="180">
          <cell r="M180" t="str">
            <v>Ул. Таллинская дом 22</v>
          </cell>
          <cell r="N180">
            <v>127541.54</v>
          </cell>
          <cell r="O180">
            <v>120211.51</v>
          </cell>
        </row>
        <row r="181">
          <cell r="M181" t="str">
            <v>Ул. Таллинская дом 24</v>
          </cell>
          <cell r="N181">
            <v>163386.29999999999</v>
          </cell>
          <cell r="O181">
            <v>158069.6</v>
          </cell>
        </row>
        <row r="182">
          <cell r="M182" t="str">
            <v>Ул. Таллинская дом 26</v>
          </cell>
          <cell r="N182">
            <v>156776.11000000002</v>
          </cell>
          <cell r="O182">
            <v>149165.91</v>
          </cell>
        </row>
        <row r="183">
          <cell r="M183" t="str">
            <v>Ул. Таллинская дом 28</v>
          </cell>
          <cell r="N183">
            <v>150335.26</v>
          </cell>
          <cell r="O183">
            <v>153293.95000000001</v>
          </cell>
        </row>
        <row r="184">
          <cell r="M184" t="str">
            <v>Ул. Ухтомского дом 5</v>
          </cell>
          <cell r="N184">
            <v>135778.9</v>
          </cell>
          <cell r="O184">
            <v>124813.65</v>
          </cell>
        </row>
        <row r="185">
          <cell r="M185" t="str">
            <v>Ул. Центральная дом 2</v>
          </cell>
          <cell r="N185">
            <v>246504.24</v>
          </cell>
          <cell r="O185">
            <v>267464.01</v>
          </cell>
        </row>
        <row r="186">
          <cell r="M186" t="str">
            <v>Ул. Центральная дом 4</v>
          </cell>
          <cell r="N186">
            <v>195499.22</v>
          </cell>
          <cell r="O186">
            <v>201620.15</v>
          </cell>
        </row>
        <row r="187">
          <cell r="M187" t="str">
            <v>Ул. Центральная дом 4/А</v>
          </cell>
          <cell r="N187">
            <v>98585.12</v>
          </cell>
          <cell r="O187">
            <v>131106.29999999999</v>
          </cell>
        </row>
        <row r="188">
          <cell r="M188" t="str">
            <v>Ул. Центральная дом 6</v>
          </cell>
          <cell r="N188">
            <v>195450.9</v>
          </cell>
          <cell r="O188">
            <v>192226.57</v>
          </cell>
        </row>
        <row r="189">
          <cell r="M189" t="str">
            <v>Ул. Центральная дом 8</v>
          </cell>
          <cell r="N189">
            <v>306215.36</v>
          </cell>
          <cell r="O189">
            <v>254543.1</v>
          </cell>
        </row>
        <row r="190">
          <cell r="M190" t="str">
            <v>Ул. Центральная дом 10</v>
          </cell>
          <cell r="N190">
            <v>172680.1</v>
          </cell>
          <cell r="O190">
            <v>224462.13</v>
          </cell>
        </row>
        <row r="191">
          <cell r="M191" t="str">
            <v>Ул. Центральная дом 12</v>
          </cell>
          <cell r="N191">
            <v>164084.56</v>
          </cell>
          <cell r="O191">
            <v>124393.96</v>
          </cell>
        </row>
        <row r="192">
          <cell r="M192" t="str">
            <v>Ул. Центральная дом 12/А</v>
          </cell>
          <cell r="N192">
            <v>112400.3</v>
          </cell>
          <cell r="O192">
            <v>112473.78</v>
          </cell>
        </row>
        <row r="193">
          <cell r="M193" t="str">
            <v>Ул. Центральная дом 14</v>
          </cell>
          <cell r="N193">
            <v>267410.74</v>
          </cell>
          <cell r="O193">
            <v>270900.67</v>
          </cell>
        </row>
        <row r="194">
          <cell r="M194" t="str">
            <v>Ул. Центральная дом 14/А</v>
          </cell>
          <cell r="N194">
            <v>177081.58</v>
          </cell>
          <cell r="O194">
            <v>161568.76</v>
          </cell>
        </row>
        <row r="195">
          <cell r="M195" t="str">
            <v>Ул. Центральная дом 16</v>
          </cell>
          <cell r="N195">
            <v>261118.96</v>
          </cell>
          <cell r="O195">
            <v>262938.65999999997</v>
          </cell>
        </row>
        <row r="196">
          <cell r="M196" t="str">
            <v>Ул. Центральная дом 22</v>
          </cell>
          <cell r="N196">
            <v>98962.74</v>
          </cell>
          <cell r="O196">
            <v>94577.04</v>
          </cell>
        </row>
        <row r="197">
          <cell r="M197" t="str">
            <v>Ул. Центральная дом 22/А</v>
          </cell>
          <cell r="N197">
            <v>124622.32</v>
          </cell>
          <cell r="O197">
            <v>121445.95</v>
          </cell>
        </row>
        <row r="198">
          <cell r="M198" t="str">
            <v>Ул. Центральная дом 28</v>
          </cell>
          <cell r="N198">
            <v>166085.26999999999</v>
          </cell>
          <cell r="O198">
            <v>158163.98000000001</v>
          </cell>
        </row>
        <row r="199">
          <cell r="M199" t="str">
            <v>Ул. Центральная дом 30</v>
          </cell>
          <cell r="N199">
            <v>221686.42</v>
          </cell>
          <cell r="O199">
            <v>176957.22</v>
          </cell>
        </row>
        <row r="200">
          <cell r="M200" t="str">
            <v>Ул. Центральная дом 34</v>
          </cell>
          <cell r="N200">
            <v>107201.62</v>
          </cell>
          <cell r="O200">
            <v>106289.08</v>
          </cell>
        </row>
        <row r="201">
          <cell r="M201" t="str">
            <v>Ул. Альшеевская дом 10</v>
          </cell>
          <cell r="N201">
            <v>155563.79999999999</v>
          </cell>
          <cell r="O201">
            <v>157807.6</v>
          </cell>
        </row>
        <row r="202">
          <cell r="M202" t="str">
            <v>Ул. Альшеевская дом 12</v>
          </cell>
          <cell r="N202">
            <v>95104.9</v>
          </cell>
          <cell r="O202">
            <v>79715.37</v>
          </cell>
        </row>
        <row r="203">
          <cell r="M203" t="str">
            <v>Ул. Альшеевская дом 12/А</v>
          </cell>
          <cell r="N203">
            <v>33777.040000000001</v>
          </cell>
          <cell r="O203">
            <v>33447.56</v>
          </cell>
        </row>
        <row r="204">
          <cell r="M204" t="str">
            <v>Ул. Альшеевская дом 14</v>
          </cell>
          <cell r="N204">
            <v>82068.600000000006</v>
          </cell>
          <cell r="O204">
            <v>72140.23</v>
          </cell>
        </row>
        <row r="205">
          <cell r="M205" t="str">
            <v>Ул. Альшеевская дом 14/А</v>
          </cell>
          <cell r="N205">
            <v>29547.86</v>
          </cell>
          <cell r="O205">
            <v>28491.21</v>
          </cell>
        </row>
        <row r="206">
          <cell r="M206" t="str">
            <v>Ул. Альшеевская дом 15</v>
          </cell>
          <cell r="N206">
            <v>41943.96</v>
          </cell>
          <cell r="O206">
            <v>43493.14</v>
          </cell>
        </row>
        <row r="207">
          <cell r="M207" t="str">
            <v>Ул. Альшеевская дом 20/А</v>
          </cell>
          <cell r="N207">
            <v>30456.78</v>
          </cell>
          <cell r="O207">
            <v>28277.53</v>
          </cell>
        </row>
        <row r="208">
          <cell r="M208" t="str">
            <v>Ул. Альшеевская дом 32/A</v>
          </cell>
          <cell r="N208">
            <v>25614.54</v>
          </cell>
          <cell r="O208">
            <v>24533.72</v>
          </cell>
        </row>
        <row r="209">
          <cell r="M209" t="str">
            <v>Ул. Аургазинская дом 8</v>
          </cell>
          <cell r="N209">
            <v>60270.78</v>
          </cell>
          <cell r="O209">
            <v>51193.1</v>
          </cell>
        </row>
        <row r="210">
          <cell r="M210" t="str">
            <v>Ул. Левитана дом 8</v>
          </cell>
          <cell r="N210">
            <v>230087.48</v>
          </cell>
          <cell r="O210">
            <v>256659.59</v>
          </cell>
        </row>
        <row r="211">
          <cell r="M211" t="str">
            <v>Ул. Магистральная дом 7</v>
          </cell>
          <cell r="N211">
            <v>97842.26</v>
          </cell>
          <cell r="O211">
            <v>86511.05</v>
          </cell>
        </row>
        <row r="212">
          <cell r="M212" t="str">
            <v>Ул. Магистральная дом 7/A</v>
          </cell>
          <cell r="N212">
            <v>21836.16</v>
          </cell>
          <cell r="O212">
            <v>23367.45</v>
          </cell>
        </row>
        <row r="213">
          <cell r="M213" t="str">
            <v>Ул. Магистральная дом 9</v>
          </cell>
          <cell r="N213">
            <v>77250.460000000006</v>
          </cell>
          <cell r="O213">
            <v>41175.24</v>
          </cell>
        </row>
        <row r="214">
          <cell r="M214" t="str">
            <v>Ул. Магистральная дом 9/A</v>
          </cell>
          <cell r="N214">
            <v>50450.22</v>
          </cell>
          <cell r="O214">
            <v>77825.64</v>
          </cell>
        </row>
        <row r="215">
          <cell r="M215" t="str">
            <v>Ул. Магистральная дом 11</v>
          </cell>
          <cell r="N215">
            <v>10193.17</v>
          </cell>
          <cell r="O215">
            <v>0</v>
          </cell>
        </row>
        <row r="216">
          <cell r="M216" t="str">
            <v>Ул. Магистральная дом 11/A</v>
          </cell>
          <cell r="N216">
            <v>5446.9500000000007</v>
          </cell>
          <cell r="O216">
            <v>52062.27</v>
          </cell>
        </row>
        <row r="217">
          <cell r="M217" t="str">
            <v>Ул. Магистральная дом 12/1</v>
          </cell>
          <cell r="N217">
            <v>75227.039999999994</v>
          </cell>
          <cell r="O217">
            <v>61106.15</v>
          </cell>
        </row>
        <row r="218">
          <cell r="M218" t="str">
            <v>Ул. Магистральная дом 17</v>
          </cell>
          <cell r="N218">
            <v>37215.32</v>
          </cell>
          <cell r="O218">
            <v>37843.32</v>
          </cell>
        </row>
        <row r="219">
          <cell r="M219" t="str">
            <v>Ул. Магистральная дом 36</v>
          </cell>
          <cell r="N219">
            <v>83139.02</v>
          </cell>
          <cell r="O219">
            <v>83884.600000000006</v>
          </cell>
        </row>
        <row r="220">
          <cell r="M220" t="str">
            <v>Ул. Туринская дом 2А</v>
          </cell>
          <cell r="N220">
            <v>37227.310000000005</v>
          </cell>
          <cell r="O220">
            <v>19688.97</v>
          </cell>
        </row>
        <row r="221">
          <cell r="M221" t="str">
            <v>Ул. Туринская дом 2Б</v>
          </cell>
          <cell r="N221">
            <v>60787.21</v>
          </cell>
          <cell r="O221">
            <v>55075</v>
          </cell>
        </row>
        <row r="222">
          <cell r="M222" t="str">
            <v>Ул. Ухтомского дом 21</v>
          </cell>
          <cell r="N222">
            <v>101856.16</v>
          </cell>
          <cell r="O222">
            <v>91209.29</v>
          </cell>
        </row>
        <row r="223">
          <cell r="M223" t="str">
            <v>Ул. Ухтомского дом 23</v>
          </cell>
          <cell r="N223">
            <v>97309.66</v>
          </cell>
          <cell r="O223">
            <v>79717.52</v>
          </cell>
        </row>
        <row r="224">
          <cell r="M224" t="str">
            <v>Ул. Юматовская дом 2/Б</v>
          </cell>
          <cell r="N224">
            <v>116893.45999999999</v>
          </cell>
          <cell r="O224">
            <v>118991.11</v>
          </cell>
        </row>
        <row r="226">
          <cell r="M226" t="str">
            <v>Ул. Левитана дом 37</v>
          </cell>
          <cell r="N226">
            <v>140405.92000000001</v>
          </cell>
          <cell r="O226">
            <v>128492.61</v>
          </cell>
        </row>
        <row r="227">
          <cell r="M227" t="str">
            <v>Ул. Левитана дом 39</v>
          </cell>
          <cell r="N227">
            <v>66619.839999999997</v>
          </cell>
          <cell r="O227">
            <v>76538.960000000006</v>
          </cell>
        </row>
        <row r="228">
          <cell r="M228" t="str">
            <v>Ул. Левитана дом 39/А</v>
          </cell>
          <cell r="N228">
            <v>87675.02</v>
          </cell>
          <cell r="O228">
            <v>114896.07</v>
          </cell>
        </row>
        <row r="229">
          <cell r="M229" t="str">
            <v>Ул. Левитана дом 41</v>
          </cell>
          <cell r="N229">
            <v>107015.84</v>
          </cell>
          <cell r="O229">
            <v>168007.1</v>
          </cell>
        </row>
        <row r="230">
          <cell r="M230" t="str">
            <v>Ул. Левитана дом 41/А</v>
          </cell>
          <cell r="N230">
            <v>117559.98</v>
          </cell>
          <cell r="O230">
            <v>98015.33</v>
          </cell>
        </row>
        <row r="231">
          <cell r="M231" t="str">
            <v>Ул. Левитана дом 41/Б</v>
          </cell>
          <cell r="N231">
            <v>98245.92</v>
          </cell>
          <cell r="O231">
            <v>85225.24</v>
          </cell>
        </row>
        <row r="232">
          <cell r="M232" t="str">
            <v>Ул. Левитана дом 43</v>
          </cell>
          <cell r="N232">
            <v>105049.78</v>
          </cell>
          <cell r="O232">
            <v>85777.54</v>
          </cell>
        </row>
        <row r="233">
          <cell r="M233" t="str">
            <v>Ул. Левитана дом 43/А</v>
          </cell>
          <cell r="N233">
            <v>107293.86</v>
          </cell>
          <cell r="O233">
            <v>100158.94</v>
          </cell>
        </row>
        <row r="234">
          <cell r="M234" t="str">
            <v>Ул. Мусы Джалиля дом 5</v>
          </cell>
          <cell r="N234">
            <v>156655.34</v>
          </cell>
          <cell r="O234">
            <v>167627.35</v>
          </cell>
        </row>
        <row r="235">
          <cell r="M235" t="str">
            <v>Ул. Новороссийская дом 4</v>
          </cell>
          <cell r="N235">
            <v>69436.98</v>
          </cell>
          <cell r="O235">
            <v>65793.919999999998</v>
          </cell>
        </row>
        <row r="236">
          <cell r="M236" t="str">
            <v>Ул. Новороссийская дом 6</v>
          </cell>
          <cell r="N236">
            <v>77210.62</v>
          </cell>
          <cell r="O236">
            <v>72407.53</v>
          </cell>
        </row>
        <row r="237">
          <cell r="M237" t="str">
            <v>Ул. Новороссийская дом 8</v>
          </cell>
          <cell r="N237">
            <v>98823.46</v>
          </cell>
          <cell r="O237">
            <v>104679.37</v>
          </cell>
        </row>
        <row r="238">
          <cell r="M238" t="str">
            <v>Ул. Новороссийская дом 10</v>
          </cell>
          <cell r="N238">
            <v>98125.22</v>
          </cell>
          <cell r="O238">
            <v>92458.15</v>
          </cell>
        </row>
        <row r="239">
          <cell r="M239" t="str">
            <v>Ул. Рядовая дом 9</v>
          </cell>
          <cell r="N239">
            <v>106993.66</v>
          </cell>
          <cell r="O239">
            <v>88325.5</v>
          </cell>
        </row>
        <row r="240">
          <cell r="M240" t="str">
            <v>Ул. Рядовая дом 10</v>
          </cell>
          <cell r="N240">
            <v>94079.64</v>
          </cell>
          <cell r="O240">
            <v>95763.75</v>
          </cell>
        </row>
        <row r="241">
          <cell r="M241" t="str">
            <v>Ул. Рядовая дом 11</v>
          </cell>
          <cell r="N241">
            <v>108381.18</v>
          </cell>
          <cell r="O241">
            <v>102972.16</v>
          </cell>
        </row>
        <row r="242">
          <cell r="M242" t="str">
            <v>Ул. Рядовая дом 12</v>
          </cell>
          <cell r="N242">
            <v>108485.66</v>
          </cell>
          <cell r="O242">
            <v>93167.78</v>
          </cell>
        </row>
        <row r="243">
          <cell r="M243" t="str">
            <v>Ул. Рядовая дом 13</v>
          </cell>
          <cell r="N243">
            <v>134313.66</v>
          </cell>
          <cell r="O243">
            <v>105321.4</v>
          </cell>
        </row>
        <row r="244">
          <cell r="M244" t="str">
            <v>Ул. Рядовая дом 15</v>
          </cell>
          <cell r="N244">
            <v>142760.44</v>
          </cell>
          <cell r="O244">
            <v>160284.21</v>
          </cell>
        </row>
        <row r="245">
          <cell r="M245" t="str">
            <v>Ул. Центральная дом 31/1</v>
          </cell>
          <cell r="N245">
            <v>35332.300000000003</v>
          </cell>
          <cell r="O245">
            <v>34214.589999999997</v>
          </cell>
        </row>
        <row r="246">
          <cell r="M246" t="str">
            <v>Ул. Центральная дом 38</v>
          </cell>
          <cell r="N246">
            <v>128842.28</v>
          </cell>
          <cell r="O246">
            <v>117440.49</v>
          </cell>
        </row>
        <row r="247">
          <cell r="M247" t="str">
            <v>Ул. Центральная дом 40</v>
          </cell>
          <cell r="N247">
            <v>123116.49</v>
          </cell>
          <cell r="O247">
            <v>116790.53</v>
          </cell>
        </row>
        <row r="248">
          <cell r="M248" t="str">
            <v>Ул. Центральная дом 42</v>
          </cell>
          <cell r="N248">
            <v>104669.58</v>
          </cell>
          <cell r="O248">
            <v>93129.05</v>
          </cell>
        </row>
        <row r="249">
          <cell r="M249" t="str">
            <v>Ул. Центральная дом 44</v>
          </cell>
          <cell r="N249">
            <v>122925.96</v>
          </cell>
          <cell r="O249">
            <v>113287.8</v>
          </cell>
        </row>
        <row r="250">
          <cell r="M250" t="str">
            <v>Ул. Центральная дом 51</v>
          </cell>
          <cell r="N250">
            <v>173187.62</v>
          </cell>
          <cell r="O250">
            <v>195026.83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91 тарифы"/>
      <sheetName val="91ОЭР"/>
      <sheetName val="91Лист1"/>
      <sheetName val="91СВОД"/>
      <sheetName val="63тарифы"/>
      <sheetName val="63СВОД"/>
      <sheetName val="34ОЭР"/>
      <sheetName val="34СВОД"/>
      <sheetName val="34тарифы"/>
      <sheetName val="32тарифы"/>
      <sheetName val="32СВОД"/>
      <sheetName val="32 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63">
          <cell r="D163">
            <v>5.3054651733843157</v>
          </cell>
        </row>
        <row r="164">
          <cell r="D164">
            <v>1.102472123785452</v>
          </cell>
        </row>
        <row r="167">
          <cell r="D167">
            <v>6.0937448826080827</v>
          </cell>
        </row>
        <row r="170">
          <cell r="D170">
            <v>21.548139947094231</v>
          </cell>
        </row>
        <row r="173">
          <cell r="D173">
            <v>1.9626785508615805</v>
          </cell>
        </row>
        <row r="184">
          <cell r="D184">
            <v>0</v>
          </cell>
        </row>
        <row r="187">
          <cell r="D187">
            <v>0.67860601054915659</v>
          </cell>
        </row>
      </sheetData>
      <sheetData sheetId="5" refreshError="1"/>
      <sheetData sheetId="6" refreshError="1">
        <row r="36">
          <cell r="D36">
            <v>46314.383620448105</v>
          </cell>
        </row>
        <row r="38">
          <cell r="D38">
            <v>46387.31008724319</v>
          </cell>
        </row>
        <row r="72">
          <cell r="D72">
            <v>76894.882029855638</v>
          </cell>
        </row>
        <row r="137">
          <cell r="D137">
            <v>100270.85324046496</v>
          </cell>
        </row>
        <row r="140">
          <cell r="D140">
            <v>74776.975890014917</v>
          </cell>
        </row>
        <row r="142">
          <cell r="D142">
            <v>61279.502327357099</v>
          </cell>
        </row>
        <row r="143">
          <cell r="D143">
            <v>122176.14070403998</v>
          </cell>
        </row>
        <row r="158">
          <cell r="D158">
            <v>79058.367211443299</v>
          </cell>
        </row>
        <row r="162">
          <cell r="D162">
            <v>61358.505999718443</v>
          </cell>
        </row>
        <row r="164">
          <cell r="D164">
            <v>46584.819268146559</v>
          </cell>
        </row>
        <row r="165">
          <cell r="D165">
            <v>44327.137400281914</v>
          </cell>
        </row>
        <row r="166">
          <cell r="D166">
            <v>62458.480207211047</v>
          </cell>
        </row>
        <row r="167">
          <cell r="D167">
            <v>46548.35603474902</v>
          </cell>
        </row>
        <row r="194">
          <cell r="D194">
            <v>62707.645635427594</v>
          </cell>
        </row>
        <row r="196">
          <cell r="D196">
            <v>62564.831304620551</v>
          </cell>
        </row>
        <row r="198">
          <cell r="D198">
            <v>62349.090507018416</v>
          </cell>
        </row>
        <row r="202">
          <cell r="D202">
            <v>138183.50016556215</v>
          </cell>
        </row>
        <row r="203">
          <cell r="D203">
            <v>50003.247399166379</v>
          </cell>
        </row>
        <row r="204">
          <cell r="D204">
            <v>76821.955563060546</v>
          </cell>
        </row>
        <row r="231">
          <cell r="D231">
            <v>52786.6075485123</v>
          </cell>
        </row>
        <row r="247">
          <cell r="D247">
            <v>88636.043183865055</v>
          </cell>
        </row>
      </sheetData>
      <sheetData sheetId="7" refreshError="1"/>
      <sheetData sheetId="8" refreshError="1">
        <row r="163">
          <cell r="D163">
            <v>5.3054651733843157</v>
          </cell>
        </row>
        <row r="164">
          <cell r="D164">
            <v>1.102472123785452</v>
          </cell>
        </row>
        <row r="170">
          <cell r="D170">
            <v>21.548139947094231</v>
          </cell>
        </row>
        <row r="173">
          <cell r="D173">
            <v>1.9626785508615805</v>
          </cell>
        </row>
        <row r="177">
          <cell r="D177">
            <v>186.91588785046727</v>
          </cell>
        </row>
        <row r="184">
          <cell r="D184">
            <v>0</v>
          </cell>
        </row>
      </sheetData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ОЭР"/>
      <sheetName val="СВОД"/>
      <sheetName val="тарифы"/>
      <sheetName val="Центр 34"/>
      <sheetName val="Центр 30"/>
      <sheetName val="Центр 28"/>
      <sheetName val="Центр 22-а"/>
      <sheetName val="Центр 22"/>
      <sheetName val="Центр 18-1"/>
      <sheetName val="Центр 16"/>
      <sheetName val="Центр 14-а"/>
      <sheetName val="Центр 14"/>
      <sheetName val="Центр 12-а"/>
      <sheetName val="Центр 12"/>
      <sheetName val="Центр 10"/>
      <sheetName val="Центр 8"/>
      <sheetName val="Центр 6-1"/>
      <sheetName val="Центр 6"/>
      <sheetName val="Центр 4-а"/>
      <sheetName val="Центр 4"/>
      <sheetName val="Центр 2"/>
      <sheetName val="Центр 1-2"/>
      <sheetName val="-Ухт 13"/>
      <sheetName val="Ухт 5"/>
      <sheetName val="Тал 28-1"/>
      <sheetName val="Тал 28"/>
      <sheetName val="Тал 26-1"/>
      <sheetName val="Тал 26"/>
      <sheetName val="Тал 24-1"/>
      <sheetName val="Тал 24"/>
      <sheetName val="Тал 22"/>
      <sheetName val="Тал 20"/>
      <sheetName val="Тал 18"/>
      <sheetName val="Тал 16"/>
      <sheetName val="Тал 14"/>
      <sheetName val="Тал 7"/>
      <sheetName val="Тал 6"/>
      <sheetName val="Тал 4"/>
      <sheetName val="Тал 3-б"/>
      <sheetName val="Тал 3-а"/>
      <sheetName val="Тал 3-1"/>
      <sheetName val="Тал 2-1"/>
      <sheetName val="Ряд 7-1"/>
      <sheetName val="Ряд 7"/>
      <sheetName val="Ряд 5-1"/>
      <sheetName val="Ряд 5"/>
      <sheetName val="Ряд 3-1"/>
      <sheetName val="Ряд 3"/>
      <sheetName val="Ряд 2"/>
      <sheetName val="Пр 15"/>
      <sheetName val="Пр 13"/>
      <sheetName val="Пр 12"/>
      <sheetName val="Пр 11"/>
      <sheetName val="Пр 10-а"/>
      <sheetName val="Пр 10"/>
      <sheetName val="Пр 8-1"/>
      <sheetName val="Пр 8-а"/>
      <sheetName val="Пр 8"/>
      <sheetName val="Пр 6а"/>
      <sheetName val="Пр 6"/>
      <sheetName val="Пр 4-1"/>
      <sheetName val="Пр 4"/>
      <sheetName val="Пр 3"/>
      <sheetName val="Пр 2"/>
      <sheetName val="Пр 1"/>
      <sheetName val="М.Дж 10"/>
      <sheetName val="М.Дж 8"/>
      <sheetName val="М.Дж 6"/>
      <sheetName val="М.Дж 4"/>
      <sheetName val="Лок 26"/>
      <sheetName val="Лок 6"/>
      <sheetName val="Лок 4"/>
      <sheetName val="Лок 2"/>
      <sheetName val="Лев 23"/>
      <sheetName val="Лев 21а"/>
      <sheetName val="Лев 21"/>
      <sheetName val="Лев 20"/>
      <sheetName val="Лев 19"/>
      <sheetName val="Лев 17"/>
      <sheetName val="Лев 15"/>
      <sheetName val="Лев 14-3"/>
      <sheetName val="Лев 14-2"/>
      <sheetName val="Лев 14-1"/>
      <sheetName val="Лев 13"/>
      <sheetName val="Лев 9а"/>
      <sheetName val="Лев 9"/>
      <sheetName val="Лев 7а"/>
      <sheetName val="Лев 7"/>
      <sheetName val="Лев 5"/>
      <sheetName val="Лев 3"/>
      <sheetName val="Даг 13"/>
      <sheetName val="Даг 11"/>
      <sheetName val="Даг 9-1"/>
      <sheetName val="Даг 9"/>
      <sheetName val="Даг 7"/>
      <sheetName val="Даг 5"/>
      <sheetName val="Ухт 13"/>
      <sheetName val="Лист1"/>
    </sheetNames>
    <sheetDataSet>
      <sheetData sheetId="0" refreshError="1">
        <row r="24">
          <cell r="D24">
            <v>46852.216313061894</v>
          </cell>
        </row>
        <row r="40">
          <cell r="D40">
            <v>89456.46593530981</v>
          </cell>
        </row>
        <row r="42">
          <cell r="D42">
            <v>108800.2112527073</v>
          </cell>
        </row>
        <row r="51">
          <cell r="D51">
            <v>34232.898954728269</v>
          </cell>
        </row>
      </sheetData>
      <sheetData sheetId="1" refreshError="1"/>
      <sheetData sheetId="2" refreshError="1">
        <row r="163">
          <cell r="D163">
            <v>5.3054651733843157</v>
          </cell>
        </row>
        <row r="164">
          <cell r="D164">
            <v>1.102472123785452</v>
          </cell>
        </row>
        <row r="165">
          <cell r="D165">
            <v>5.7098869372469441</v>
          </cell>
        </row>
        <row r="170">
          <cell r="D170">
            <v>21.548139947094231</v>
          </cell>
        </row>
        <row r="173">
          <cell r="D173">
            <v>1.9626785508615805</v>
          </cell>
        </row>
        <row r="177">
          <cell r="D177">
            <v>186.91588785046727</v>
          </cell>
        </row>
        <row r="184">
          <cell r="D184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Лист  1"/>
      <sheetName val="Тал 23б"/>
      <sheetName val="Тал 23а"/>
      <sheetName val="Тал 23"/>
      <sheetName val="+ук Тал 21б (3)"/>
      <sheetName val="+ужхТал 21б (2)"/>
      <sheetName val="Тал 21а"/>
      <sheetName val="Тал 21"/>
      <sheetName val="+УЖХ Пр 20-3 (2)"/>
      <sheetName val="+ук УЖХ Пр 20-3"/>
      <sheetName val="Пр 20-2"/>
      <sheetName val="Пр 20-1"/>
      <sheetName val="Пр 20"/>
      <sheetName val="Пр 18-3"/>
      <sheetName val="Пр 18-2"/>
      <sheetName val="Пр 18-1"/>
      <sheetName val="Пр 18"/>
      <sheetName val="Мус 25-1"/>
      <sheetName val="Мус 25"/>
      <sheetName val="Мус 23"/>
      <sheetName val="Мус 21-1"/>
      <sheetName val="Мус 21"/>
      <sheetName val="Мус 19б"/>
      <sheetName val="Мус 19а"/>
      <sheetName val="Мус 19-1"/>
      <sheetName val="Мус 17"/>
      <sheetName val="Мус 15-а"/>
      <sheetName val="Мус 15"/>
      <sheetName val="Мус 13"/>
      <sheetName val="Мус 13а"/>
      <sheetName val="Мус 11"/>
      <sheetName val="Маг 6"/>
      <sheetName val="Даг 31"/>
      <sheetName val="Даг 27"/>
      <sheetName val="Даг 19"/>
      <sheetName val="+Даг 17-1"/>
      <sheetName val="Даг 17"/>
      <sheetName val="Даг 16"/>
      <sheetName val="Даг 15-1"/>
      <sheetName val="Даг 15"/>
      <sheetName val="УК Даг 13-2 (2)"/>
      <sheetName val="УЖХДаг 13-2"/>
      <sheetName val="УК Даг13-1"/>
      <sheetName val="УЖХ Даг 13-1"/>
      <sheetName val="Мус 23 (2)"/>
      <sheetName val="Лист1"/>
      <sheetName val="Лист2"/>
    </sheetNames>
    <sheetDataSet>
      <sheetData sheetId="0">
        <row r="1">
          <cell r="M1" t="str">
            <v xml:space="preserve">Не трогать! Идет в отчет </v>
          </cell>
          <cell r="N1">
            <v>132871710.76000001</v>
          </cell>
          <cell r="O1">
            <v>131277874.77999997</v>
          </cell>
        </row>
        <row r="2">
          <cell r="M2" t="str">
            <v>С ЕРКЦ</v>
          </cell>
          <cell r="N2" t="str">
            <v>Постоянные начисления-разовые</v>
          </cell>
          <cell r="O2" t="str">
            <v>Оплата</v>
          </cell>
        </row>
        <row r="3">
          <cell r="M3" t="str">
            <v>Ул. Дагестанская дом 11/1</v>
          </cell>
          <cell r="N3">
            <v>1522487.7999999998</v>
          </cell>
          <cell r="O3">
            <v>1442812.6</v>
          </cell>
        </row>
        <row r="4">
          <cell r="M4" t="str">
            <v>Ул. Дагестанская дом 13/1</v>
          </cell>
          <cell r="N4">
            <v>1664667.45</v>
          </cell>
          <cell r="O4">
            <v>1662682.27</v>
          </cell>
        </row>
        <row r="5">
          <cell r="M5" t="str">
            <v>Ул. Дагестанская дом 13/2</v>
          </cell>
          <cell r="N5">
            <v>871034.78</v>
          </cell>
          <cell r="O5">
            <v>882990.17</v>
          </cell>
        </row>
        <row r="6">
          <cell r="M6" t="str">
            <v>Ул. Дагестанская дом 15</v>
          </cell>
          <cell r="N6">
            <v>779395.08000000007</v>
          </cell>
          <cell r="O6">
            <v>747439.42999999993</v>
          </cell>
        </row>
        <row r="7">
          <cell r="M7" t="str">
            <v>Ул. Дагестанская дом 16</v>
          </cell>
          <cell r="N7">
            <v>1368014.3199999998</v>
          </cell>
          <cell r="O7">
            <v>1313270.1599999999</v>
          </cell>
        </row>
        <row r="8">
          <cell r="M8" t="str">
            <v>Ул. Дагестанская дом 17</v>
          </cell>
          <cell r="N8">
            <v>446208.48</v>
          </cell>
          <cell r="O8">
            <v>437668.09</v>
          </cell>
        </row>
        <row r="9">
          <cell r="M9" t="str">
            <v>Ул. Дагестанская дом 19</v>
          </cell>
          <cell r="N9">
            <v>726887.46</v>
          </cell>
          <cell r="O9">
            <v>718893.08</v>
          </cell>
        </row>
        <row r="10">
          <cell r="M10" t="str">
            <v>Ул. Дагестанская дом 27</v>
          </cell>
          <cell r="N10">
            <v>1309989.5999999999</v>
          </cell>
          <cell r="O10">
            <v>1265585.44</v>
          </cell>
        </row>
        <row r="11">
          <cell r="M11" t="str">
            <v>Ул. Магистральная дом 6</v>
          </cell>
          <cell r="N11">
            <v>1904705.5999999999</v>
          </cell>
          <cell r="O11">
            <v>1876237.36</v>
          </cell>
        </row>
        <row r="12">
          <cell r="M12" t="str">
            <v>Ул. Мусоргского дом 7</v>
          </cell>
          <cell r="N12">
            <v>454862.33999999997</v>
          </cell>
          <cell r="O12">
            <v>435569.64</v>
          </cell>
        </row>
        <row r="13">
          <cell r="M13" t="str">
            <v>Ул. Мусоргского дом 9</v>
          </cell>
          <cell r="N13">
            <v>629096.15999999992</v>
          </cell>
          <cell r="O13">
            <v>602965.66999999993</v>
          </cell>
        </row>
        <row r="14">
          <cell r="M14" t="str">
            <v>Ул. Мусоргского дом 9/А</v>
          </cell>
          <cell r="N14">
            <v>536036.6</v>
          </cell>
          <cell r="O14">
            <v>506731.56</v>
          </cell>
        </row>
        <row r="15">
          <cell r="M15" t="str">
            <v>Ул. Мусоргского дом 11</v>
          </cell>
          <cell r="N15">
            <v>697741.32</v>
          </cell>
          <cell r="O15">
            <v>669265.25</v>
          </cell>
        </row>
        <row r="16">
          <cell r="M16" t="str">
            <v>Ул. Мусоргского дом 13</v>
          </cell>
          <cell r="N16">
            <v>590086.80000000005</v>
          </cell>
          <cell r="O16">
            <v>582908.30000000005</v>
          </cell>
        </row>
        <row r="17">
          <cell r="M17" t="str">
            <v>Ул. Мусоргского дом 13а</v>
          </cell>
          <cell r="N17">
            <v>703759.04</v>
          </cell>
          <cell r="O17">
            <v>688061.30999999994</v>
          </cell>
        </row>
        <row r="18">
          <cell r="M18" t="str">
            <v>Ул. Мусоргского дом 15</v>
          </cell>
          <cell r="N18">
            <v>554462.38</v>
          </cell>
          <cell r="O18">
            <v>484935.08</v>
          </cell>
        </row>
        <row r="19">
          <cell r="M19" t="str">
            <v>Ул. Мусоргского дом 15/А</v>
          </cell>
          <cell r="N19">
            <v>525988.76</v>
          </cell>
          <cell r="O19">
            <v>479907.32999999996</v>
          </cell>
        </row>
        <row r="20">
          <cell r="M20" t="str">
            <v>Ул. Мусоргского дом 17</v>
          </cell>
          <cell r="N20">
            <v>667524.88</v>
          </cell>
          <cell r="O20">
            <v>724217.25</v>
          </cell>
        </row>
        <row r="21">
          <cell r="M21" t="str">
            <v>Ул. Мусоргского дом 19/1</v>
          </cell>
          <cell r="N21">
            <v>806722.26</v>
          </cell>
          <cell r="O21">
            <v>782243.8600000001</v>
          </cell>
        </row>
        <row r="22">
          <cell r="M22" t="str">
            <v>Ул. Мусоргского дом 19/А</v>
          </cell>
          <cell r="N22">
            <v>539293.31999999995</v>
          </cell>
          <cell r="O22">
            <v>539213.04999999993</v>
          </cell>
        </row>
        <row r="23">
          <cell r="M23" t="str">
            <v>Ул. Мусоргского дом 19б</v>
          </cell>
          <cell r="N23">
            <v>517846.18</v>
          </cell>
          <cell r="O23">
            <v>522619.92</v>
          </cell>
        </row>
        <row r="24">
          <cell r="M24" t="str">
            <v>Ул. Мусоргского дом 21/1</v>
          </cell>
          <cell r="N24">
            <v>800254.67999999993</v>
          </cell>
          <cell r="O24">
            <v>792025.5</v>
          </cell>
        </row>
        <row r="25">
          <cell r="M25" t="str">
            <v>Ул. Мусоргского дом 23</v>
          </cell>
          <cell r="N25">
            <v>1607797.2200000002</v>
          </cell>
          <cell r="O25">
            <v>1558614.08</v>
          </cell>
        </row>
        <row r="26">
          <cell r="M26" t="str">
            <v>Ул. Мусоргского дом 25</v>
          </cell>
          <cell r="N26">
            <v>648077.60000000009</v>
          </cell>
          <cell r="O26">
            <v>642771.93999999994</v>
          </cell>
        </row>
        <row r="27">
          <cell r="M27" t="str">
            <v>Ул. Мусоргского дом 25/1</v>
          </cell>
          <cell r="N27">
            <v>848819.4</v>
          </cell>
          <cell r="O27">
            <v>854618.03</v>
          </cell>
        </row>
        <row r="28">
          <cell r="M28" t="str">
            <v>Ул. Правды дом 18</v>
          </cell>
          <cell r="N28">
            <v>1386013.32</v>
          </cell>
          <cell r="O28">
            <v>1407210.88</v>
          </cell>
        </row>
        <row r="29">
          <cell r="M29" t="str">
            <v>Ул. Правды дом 18/1</v>
          </cell>
          <cell r="N29">
            <v>668829.48</v>
          </cell>
          <cell r="O29">
            <v>700390.52</v>
          </cell>
        </row>
        <row r="30">
          <cell r="M30" t="str">
            <v>Ул. Правды дом 18/2</v>
          </cell>
          <cell r="N30">
            <v>441984.46</v>
          </cell>
          <cell r="O30">
            <v>484434.24</v>
          </cell>
        </row>
        <row r="31">
          <cell r="M31" t="str">
            <v>Ул. Правды дом 18/3</v>
          </cell>
          <cell r="N31">
            <v>869889.38000000012</v>
          </cell>
          <cell r="O31">
            <v>802652.5</v>
          </cell>
        </row>
        <row r="32">
          <cell r="M32" t="str">
            <v>Ул. Правды дом 20</v>
          </cell>
          <cell r="N32">
            <v>1048812.04</v>
          </cell>
          <cell r="O32">
            <v>1028552.72</v>
          </cell>
        </row>
        <row r="33">
          <cell r="M33" t="str">
            <v>Ул. Правды дом 20/1</v>
          </cell>
          <cell r="N33">
            <v>666692.34000000008</v>
          </cell>
          <cell r="O33">
            <v>655057.41999999993</v>
          </cell>
        </row>
        <row r="34">
          <cell r="M34" t="str">
            <v>Ул. Правды дом 20/2</v>
          </cell>
          <cell r="N34">
            <v>496178.2</v>
          </cell>
          <cell r="O34">
            <v>501463.72000000003</v>
          </cell>
        </row>
        <row r="35">
          <cell r="M35" t="str">
            <v>Ул. Правды дом 20/3</v>
          </cell>
          <cell r="N35">
            <v>523308.61</v>
          </cell>
          <cell r="O35">
            <v>516113.12</v>
          </cell>
        </row>
        <row r="36">
          <cell r="M36" t="str">
            <v>Ул. Таллинская дом 21</v>
          </cell>
          <cell r="N36">
            <v>651221.1</v>
          </cell>
          <cell r="O36">
            <v>646780.7300000001</v>
          </cell>
        </row>
        <row r="37">
          <cell r="M37" t="str">
            <v>Ул. Таллинская дом 21/А</v>
          </cell>
          <cell r="N37">
            <v>318864.10000000003</v>
          </cell>
          <cell r="O37">
            <v>300036.29000000004</v>
          </cell>
        </row>
        <row r="38">
          <cell r="M38" t="str">
            <v>Ул. Таллинская дом 21/Б</v>
          </cell>
          <cell r="N38">
            <v>441279.28</v>
          </cell>
          <cell r="O38">
            <v>468176.91</v>
          </cell>
        </row>
        <row r="40">
          <cell r="M40" t="str">
            <v>Ул. Таллинская дом 23</v>
          </cell>
          <cell r="N40">
            <v>522071.76</v>
          </cell>
          <cell r="O40">
            <v>511893.37</v>
          </cell>
        </row>
        <row r="41">
          <cell r="M41" t="str">
            <v>Ул. Таллинская дом 23/А</v>
          </cell>
          <cell r="N41">
            <v>674953.6</v>
          </cell>
          <cell r="O41">
            <v>655946.35</v>
          </cell>
        </row>
        <row r="42">
          <cell r="M42" t="str">
            <v>Ул. Таллинская дом 23/Б</v>
          </cell>
          <cell r="N42">
            <v>390348.06999999995</v>
          </cell>
          <cell r="O42">
            <v>332820.7</v>
          </cell>
        </row>
        <row r="45">
          <cell r="M45" t="str">
            <v>Ул. Дагестанская дом 15/1</v>
          </cell>
          <cell r="N45">
            <v>1025927.56</v>
          </cell>
          <cell r="O45">
            <v>1141483.8600000001</v>
          </cell>
        </row>
        <row r="46">
          <cell r="M46" t="str">
            <v>Ул. Дагестанская дом 17/1</v>
          </cell>
          <cell r="N46">
            <v>1683980.7599999998</v>
          </cell>
          <cell r="O46">
            <v>1673325.6500000001</v>
          </cell>
        </row>
        <row r="47">
          <cell r="M47" t="str">
            <v>Ул. Дагестанская дом 31</v>
          </cell>
          <cell r="N47">
            <v>583740.12</v>
          </cell>
          <cell r="O47">
            <v>581771.71</v>
          </cell>
        </row>
        <row r="48">
          <cell r="M48" t="str">
            <v>Ул. Мусоргского дом 21</v>
          </cell>
          <cell r="N48">
            <v>500288.52</v>
          </cell>
          <cell r="O48">
            <v>496645.77</v>
          </cell>
        </row>
        <row r="49">
          <cell r="M49" t="str">
            <v>Ул. Дагестанская дом 7</v>
          </cell>
          <cell r="N49">
            <v>288320.76</v>
          </cell>
          <cell r="O49">
            <v>307424.43</v>
          </cell>
        </row>
        <row r="50">
          <cell r="M50" t="str">
            <v>Ул. Дагестанская дом 9</v>
          </cell>
          <cell r="N50">
            <v>325613.37000000005</v>
          </cell>
          <cell r="O50">
            <v>269364.33999999997</v>
          </cell>
        </row>
        <row r="51">
          <cell r="M51" t="str">
            <v>Ул. Дагестанская дом 9/1</v>
          </cell>
          <cell r="N51">
            <v>130564.32</v>
          </cell>
          <cell r="O51">
            <v>131422.06</v>
          </cell>
        </row>
        <row r="52">
          <cell r="M52" t="str">
            <v>Ул. Дагестанская дом 11</v>
          </cell>
          <cell r="N52">
            <v>324557.04000000004</v>
          </cell>
          <cell r="O52">
            <v>337170.29000000004</v>
          </cell>
        </row>
        <row r="53">
          <cell r="M53" t="str">
            <v>Ул. Дагестанская дом 13</v>
          </cell>
          <cell r="N53">
            <v>263263.89999999997</v>
          </cell>
          <cell r="O53">
            <v>276130.94</v>
          </cell>
        </row>
        <row r="54">
          <cell r="M54" t="str">
            <v>Ул. Левитана дом 7</v>
          </cell>
          <cell r="N54">
            <v>379457.68000000005</v>
          </cell>
          <cell r="O54">
            <v>383572.86000000004</v>
          </cell>
        </row>
        <row r="55">
          <cell r="M55" t="str">
            <v>Ул. Левитана дом 14/1</v>
          </cell>
          <cell r="N55">
            <v>708021.1399999999</v>
          </cell>
          <cell r="O55">
            <v>791846.8899999999</v>
          </cell>
        </row>
        <row r="56">
          <cell r="M56" t="str">
            <v>Ул. Левитана дом 14/2</v>
          </cell>
          <cell r="N56">
            <v>712075.84</v>
          </cell>
          <cell r="O56">
            <v>675188.72</v>
          </cell>
        </row>
        <row r="57">
          <cell r="M57" t="str">
            <v>Ул. Левитана дом 14/3</v>
          </cell>
          <cell r="N57">
            <v>699129.06</v>
          </cell>
          <cell r="O57">
            <v>704304.6</v>
          </cell>
        </row>
        <row r="58">
          <cell r="M58" t="str">
            <v>Ул. Левитана дом 20</v>
          </cell>
          <cell r="N58">
            <v>1646397.48</v>
          </cell>
          <cell r="O58">
            <v>1697920.65</v>
          </cell>
        </row>
        <row r="59">
          <cell r="M59" t="str">
            <v>Ул. Левитана дом 21/А</v>
          </cell>
          <cell r="N59">
            <v>248190.02</v>
          </cell>
          <cell r="O59">
            <v>237934.37</v>
          </cell>
        </row>
        <row r="60">
          <cell r="M60" t="str">
            <v>Ул. Правды дом 1</v>
          </cell>
          <cell r="N60">
            <v>889138.05999999994</v>
          </cell>
          <cell r="O60">
            <v>828864.26</v>
          </cell>
        </row>
        <row r="61">
          <cell r="M61" t="str">
            <v>Ул. Правды дом 2</v>
          </cell>
          <cell r="N61">
            <v>235249.88</v>
          </cell>
          <cell r="O61">
            <v>229578.48</v>
          </cell>
        </row>
        <row r="62">
          <cell r="M62" t="str">
            <v>Ул. Правды дом 3</v>
          </cell>
          <cell r="N62">
            <v>458371.08</v>
          </cell>
          <cell r="O62">
            <v>439632.57</v>
          </cell>
        </row>
        <row r="63">
          <cell r="M63" t="str">
            <v>Ул. Правды дом 4</v>
          </cell>
          <cell r="N63">
            <v>298914.37999999995</v>
          </cell>
          <cell r="O63">
            <v>295780.15999999997</v>
          </cell>
        </row>
        <row r="64">
          <cell r="M64" t="str">
            <v>Ул. Правды дом 4/1</v>
          </cell>
          <cell r="N64">
            <v>403827.74</v>
          </cell>
          <cell r="O64">
            <v>390813.39</v>
          </cell>
        </row>
        <row r="65">
          <cell r="M65" t="str">
            <v>Ул. Правды дом 6</v>
          </cell>
          <cell r="N65">
            <v>327472.95</v>
          </cell>
          <cell r="O65">
            <v>249400.92</v>
          </cell>
        </row>
        <row r="66">
          <cell r="M66" t="str">
            <v>Ул. Правды дом 6/А</v>
          </cell>
          <cell r="N66">
            <v>223946.38</v>
          </cell>
          <cell r="O66">
            <v>195151.26</v>
          </cell>
        </row>
        <row r="67">
          <cell r="M67" t="str">
            <v>Ул. Правды дом 8</v>
          </cell>
          <cell r="N67">
            <v>276492.44</v>
          </cell>
          <cell r="O67">
            <v>291987.71999999997</v>
          </cell>
        </row>
        <row r="68">
          <cell r="M68" t="str">
            <v>Ул. Правды дом 8/1</v>
          </cell>
          <cell r="N68">
            <v>362491.12</v>
          </cell>
          <cell r="O68">
            <v>338480.57</v>
          </cell>
        </row>
        <row r="69">
          <cell r="M69" t="str">
            <v>Ул. Правды дом 8/А</v>
          </cell>
          <cell r="N69">
            <v>275378.40000000002</v>
          </cell>
          <cell r="O69">
            <v>272032.94</v>
          </cell>
        </row>
        <row r="70">
          <cell r="M70" t="str">
            <v>Ул. Правды дом 10</v>
          </cell>
          <cell r="N70">
            <v>189175.08</v>
          </cell>
          <cell r="O70">
            <v>198392.79</v>
          </cell>
        </row>
        <row r="71">
          <cell r="M71" t="str">
            <v>Ул. Правды дом 10/А</v>
          </cell>
          <cell r="N71">
            <v>259140.96</v>
          </cell>
          <cell r="O71">
            <v>285436.53000000003</v>
          </cell>
        </row>
        <row r="72">
          <cell r="M72" t="str">
            <v>Ул. Правды дом 11</v>
          </cell>
          <cell r="N72">
            <v>461639.28</v>
          </cell>
          <cell r="O72">
            <v>448222.27</v>
          </cell>
        </row>
        <row r="73">
          <cell r="M73" t="str">
            <v>Ул. Правды дом 13</v>
          </cell>
          <cell r="N73">
            <v>374789.28</v>
          </cell>
          <cell r="O73">
            <v>365350.86</v>
          </cell>
        </row>
        <row r="74">
          <cell r="M74" t="str">
            <v>Ул. Правды дом 15</v>
          </cell>
          <cell r="N74">
            <v>968209.22</v>
          </cell>
          <cell r="O74">
            <v>932069.77</v>
          </cell>
        </row>
        <row r="75">
          <cell r="M75" t="str">
            <v>Ул. Таллинская дом 4</v>
          </cell>
          <cell r="N75">
            <v>770207.21000000008</v>
          </cell>
          <cell r="O75">
            <v>819761.2699999999</v>
          </cell>
        </row>
        <row r="76">
          <cell r="M76" t="str">
            <v>Ул. Таллинская дом 6</v>
          </cell>
          <cell r="N76">
            <v>404719.56</v>
          </cell>
          <cell r="O76">
            <v>436243.68</v>
          </cell>
        </row>
        <row r="77">
          <cell r="M77" t="str">
            <v>Ул. Таллинская дом 7</v>
          </cell>
          <cell r="N77">
            <v>446170.58</v>
          </cell>
          <cell r="O77">
            <v>431290.48</v>
          </cell>
        </row>
        <row r="78">
          <cell r="M78" t="str">
            <v>Ул. Таллинская дом 14</v>
          </cell>
          <cell r="N78">
            <v>271837.42</v>
          </cell>
          <cell r="O78">
            <v>296422.17</v>
          </cell>
        </row>
        <row r="79">
          <cell r="M79" t="str">
            <v>Ул. Таллинская дом 24/1</v>
          </cell>
          <cell r="N79">
            <v>555268.1</v>
          </cell>
          <cell r="O79">
            <v>535942.07999999996</v>
          </cell>
        </row>
        <row r="80">
          <cell r="M80" t="str">
            <v>Ул. Таллинская дом 26/1</v>
          </cell>
          <cell r="N80">
            <v>407171.34</v>
          </cell>
          <cell r="O80">
            <v>414656.83000000007</v>
          </cell>
        </row>
        <row r="81">
          <cell r="M81" t="str">
            <v>Ул. Таллинская дом 28/1</v>
          </cell>
          <cell r="N81">
            <v>387597.88</v>
          </cell>
          <cell r="O81">
            <v>401397.9</v>
          </cell>
        </row>
        <row r="82">
          <cell r="M82" t="str">
            <v>Ул. Центральная дом 1</v>
          </cell>
          <cell r="N82">
            <v>20599.919999999998</v>
          </cell>
          <cell r="O82">
            <v>24817.48</v>
          </cell>
        </row>
        <row r="83">
          <cell r="M83" t="str">
            <v>Ул. Центральная дом 1/2</v>
          </cell>
          <cell r="N83">
            <v>1024122.76</v>
          </cell>
          <cell r="O83">
            <v>1076250.95</v>
          </cell>
        </row>
        <row r="84">
          <cell r="M84" t="str">
            <v>Ул. Центральная дом 3</v>
          </cell>
          <cell r="N84">
            <v>15218.32</v>
          </cell>
          <cell r="O84">
            <v>15069.8</v>
          </cell>
        </row>
        <row r="85">
          <cell r="M85" t="str">
            <v>Ул. Центральная дом 6/1</v>
          </cell>
          <cell r="N85">
            <v>552409.16</v>
          </cell>
          <cell r="O85">
            <v>509056.35000000003</v>
          </cell>
        </row>
        <row r="86">
          <cell r="M86" t="str">
            <v>Ул. Центральная дом 18/1</v>
          </cell>
          <cell r="N86">
            <v>298973.18</v>
          </cell>
          <cell r="O86">
            <v>302628.07</v>
          </cell>
        </row>
        <row r="87">
          <cell r="M87" t="str">
            <v>Ул. Магистральная дом 20/1</v>
          </cell>
          <cell r="N87">
            <v>689532</v>
          </cell>
          <cell r="O87">
            <v>705035.97</v>
          </cell>
        </row>
        <row r="88">
          <cell r="M88" t="str">
            <v>Ул. Магистральная дом 27</v>
          </cell>
          <cell r="N88">
            <v>1738836.48</v>
          </cell>
          <cell r="O88">
            <v>1720246.25</v>
          </cell>
        </row>
        <row r="89">
          <cell r="M89" t="str">
            <v>Ул. Мусы Джалиля дом 64</v>
          </cell>
          <cell r="N89">
            <v>2074082.07</v>
          </cell>
          <cell r="O89">
            <v>1835514.36</v>
          </cell>
        </row>
        <row r="90">
          <cell r="M90" t="str">
            <v>Ул. Мусы Джалиля дом 66</v>
          </cell>
          <cell r="N90">
            <v>2445318.5499999998</v>
          </cell>
          <cell r="O90">
            <v>2451363.9</v>
          </cell>
        </row>
        <row r="91">
          <cell r="M91" t="str">
            <v>Ул. Мусы Джалиля дом 68</v>
          </cell>
          <cell r="N91">
            <v>2030405.22</v>
          </cell>
          <cell r="O91">
            <v>1993153.96</v>
          </cell>
        </row>
        <row r="92">
          <cell r="M92" t="str">
            <v>Ул. Мусы Джалиля дом 68/1</v>
          </cell>
          <cell r="N92">
            <v>1460996.56</v>
          </cell>
          <cell r="O92">
            <v>1423608.98</v>
          </cell>
        </row>
        <row r="93">
          <cell r="M93" t="str">
            <v>Ул. Мусы Джалиля дом 72/1</v>
          </cell>
          <cell r="N93">
            <v>870747.42</v>
          </cell>
          <cell r="O93">
            <v>940735.97</v>
          </cell>
        </row>
        <row r="94">
          <cell r="M94" t="str">
            <v>Ул. Мусы Джалиля дом 74</v>
          </cell>
          <cell r="N94">
            <v>3842750.04</v>
          </cell>
          <cell r="O94">
            <v>3897433.72</v>
          </cell>
        </row>
        <row r="95">
          <cell r="M95" t="str">
            <v>Ул. Мусы Джалиля дом 74/1</v>
          </cell>
          <cell r="N95">
            <v>1557628.68</v>
          </cell>
          <cell r="O95">
            <v>1473099.78</v>
          </cell>
        </row>
        <row r="96">
          <cell r="M96" t="str">
            <v>Ул. Мусы Джалиля дом 74/3</v>
          </cell>
          <cell r="N96">
            <v>472989.81999999995</v>
          </cell>
          <cell r="O96">
            <v>437363.93999999994</v>
          </cell>
        </row>
        <row r="97">
          <cell r="M97" t="str">
            <v>Ул. Островского дом 16/1</v>
          </cell>
          <cell r="N97">
            <v>2197040.71</v>
          </cell>
          <cell r="O97">
            <v>2278521.77</v>
          </cell>
        </row>
        <row r="98">
          <cell r="M98" t="str">
            <v>Ул. Островского дом 18/1</v>
          </cell>
          <cell r="N98">
            <v>1513089.85</v>
          </cell>
          <cell r="O98">
            <v>1476211.68</v>
          </cell>
        </row>
        <row r="99">
          <cell r="M99" t="str">
            <v>Ул. Правды дом 21</v>
          </cell>
          <cell r="N99">
            <v>2473665.2400000002</v>
          </cell>
          <cell r="O99">
            <v>2448003.11</v>
          </cell>
        </row>
        <row r="100">
          <cell r="M100" t="str">
            <v>Ул. Правды дом 23</v>
          </cell>
          <cell r="N100">
            <v>866983.85</v>
          </cell>
          <cell r="O100">
            <v>887094.1100000001</v>
          </cell>
        </row>
        <row r="101">
          <cell r="M101" t="str">
            <v>Ул. Ухтомского дом 10</v>
          </cell>
          <cell r="N101">
            <v>1018464.26</v>
          </cell>
          <cell r="O101">
            <v>1061092.3700000001</v>
          </cell>
        </row>
        <row r="102">
          <cell r="M102" t="str">
            <v>Ул. Ухтомского дом 11</v>
          </cell>
          <cell r="N102">
            <v>947497.55999999994</v>
          </cell>
          <cell r="O102">
            <v>945786.02</v>
          </cell>
        </row>
        <row r="103">
          <cell r="M103" t="str">
            <v>Ул. Ухтомского дом 12</v>
          </cell>
          <cell r="N103">
            <v>2430874.04</v>
          </cell>
          <cell r="O103">
            <v>2440177.7199999997</v>
          </cell>
        </row>
        <row r="104">
          <cell r="M104" t="str">
            <v>Ул. Ухтомского дом 16</v>
          </cell>
          <cell r="N104">
            <v>1078466.3999999999</v>
          </cell>
          <cell r="O104">
            <v>1108091.3500000001</v>
          </cell>
        </row>
        <row r="105">
          <cell r="M105" t="str">
            <v>Ул. Ухтомского дом 20</v>
          </cell>
          <cell r="N105">
            <v>342920.24</v>
          </cell>
          <cell r="O105">
            <v>344176.05</v>
          </cell>
        </row>
        <row r="106">
          <cell r="M106" t="str">
            <v>Ул. Ухтомского дом 22</v>
          </cell>
          <cell r="N106">
            <v>1592704.48</v>
          </cell>
          <cell r="O106">
            <v>1670026.89</v>
          </cell>
        </row>
        <row r="107">
          <cell r="M107" t="str">
            <v>Ул. Ухтомского дом 24</v>
          </cell>
          <cell r="N107">
            <v>1337046.6400000001</v>
          </cell>
          <cell r="O107">
            <v>1312580.67</v>
          </cell>
        </row>
        <row r="108">
          <cell r="M108" t="str">
            <v>Ул. Ухтомского дом 26</v>
          </cell>
          <cell r="N108">
            <v>2944545.0999999996</v>
          </cell>
          <cell r="O108">
            <v>2896509.3</v>
          </cell>
        </row>
        <row r="109">
          <cell r="M109" t="str">
            <v>Ул. Ухтомского дом 26/2</v>
          </cell>
          <cell r="N109">
            <v>862461.24</v>
          </cell>
          <cell r="O109">
            <v>849418.79</v>
          </cell>
        </row>
        <row r="110">
          <cell r="M110" t="str">
            <v>Ул. Ухтомского дом 28</v>
          </cell>
          <cell r="N110">
            <v>1369600.56</v>
          </cell>
          <cell r="O110">
            <v>1414806.83</v>
          </cell>
        </row>
        <row r="111">
          <cell r="M111" t="str">
            <v>Ул. Ухтомского дом 30</v>
          </cell>
          <cell r="N111">
            <v>1315485.42</v>
          </cell>
          <cell r="O111">
            <v>1264537.28</v>
          </cell>
        </row>
        <row r="112">
          <cell r="M112" t="str">
            <v>Ул. Ухтомского дом 30/2</v>
          </cell>
          <cell r="N112">
            <v>1157289.3</v>
          </cell>
          <cell r="O112">
            <v>1107409.9099999999</v>
          </cell>
        </row>
        <row r="113">
          <cell r="M113" t="str">
            <v>Ул. 1-я Строителей дом 42</v>
          </cell>
          <cell r="N113">
            <v>268635.89999999997</v>
          </cell>
          <cell r="O113">
            <v>265961.95</v>
          </cell>
        </row>
        <row r="114">
          <cell r="M114" t="str">
            <v>Ул. 1-я Строителей дом 44</v>
          </cell>
          <cell r="N114">
            <v>309222.59999999998</v>
          </cell>
          <cell r="O114">
            <v>294687.95</v>
          </cell>
        </row>
        <row r="115">
          <cell r="M115" t="str">
            <v>Ул. 1-я Строителей дом 46</v>
          </cell>
          <cell r="N115">
            <v>495028.95</v>
          </cell>
          <cell r="O115">
            <v>453796.17000000004</v>
          </cell>
        </row>
        <row r="116">
          <cell r="M116" t="str">
            <v>Ул. Грозненская дом 67/1</v>
          </cell>
          <cell r="N116">
            <v>867489.24</v>
          </cell>
          <cell r="O116">
            <v>937579.37999999989</v>
          </cell>
        </row>
        <row r="117">
          <cell r="M117" t="str">
            <v>Ул. Грозненская дом 67/2</v>
          </cell>
          <cell r="N117">
            <v>431314.8</v>
          </cell>
          <cell r="O117">
            <v>439371.89</v>
          </cell>
        </row>
        <row r="118">
          <cell r="M118" t="str">
            <v>Ул. Грозненская дом 67/3</v>
          </cell>
          <cell r="N118">
            <v>755378.88</v>
          </cell>
          <cell r="O118">
            <v>756957.48</v>
          </cell>
        </row>
        <row r="119">
          <cell r="M119" t="str">
            <v>Ул. Грозненская дом 67/4</v>
          </cell>
          <cell r="N119">
            <v>382795.2</v>
          </cell>
          <cell r="O119">
            <v>412233.45999999996</v>
          </cell>
        </row>
        <row r="120">
          <cell r="M120" t="str">
            <v>Ул. Грозненская дом 67/5</v>
          </cell>
          <cell r="N120">
            <v>867242.28</v>
          </cell>
          <cell r="O120">
            <v>924399.19000000006</v>
          </cell>
        </row>
        <row r="121">
          <cell r="M121" t="str">
            <v>Ул. Грозненская дом 69/7</v>
          </cell>
          <cell r="N121">
            <v>2670898.3200000003</v>
          </cell>
          <cell r="O121">
            <v>2625383.7800000003</v>
          </cell>
        </row>
        <row r="122">
          <cell r="M122" t="str">
            <v>Ул. Грозненская дом 71/1</v>
          </cell>
          <cell r="N122">
            <v>1205371.3700000001</v>
          </cell>
          <cell r="O122">
            <v>1317462.1599999999</v>
          </cell>
        </row>
        <row r="123">
          <cell r="M123" t="str">
            <v>Ул. Левитана дом 14/4</v>
          </cell>
          <cell r="N123">
            <v>426230.01</v>
          </cell>
          <cell r="O123">
            <v>423994.68</v>
          </cell>
        </row>
        <row r="124">
          <cell r="M124" t="str">
            <v>Ул. Левитана дом 14/5</v>
          </cell>
          <cell r="N124">
            <v>500127.9</v>
          </cell>
          <cell r="O124">
            <v>496654.94</v>
          </cell>
        </row>
        <row r="125">
          <cell r="M125" t="str">
            <v>Ул. Левитана дом 14/6</v>
          </cell>
          <cell r="N125">
            <v>567147.4</v>
          </cell>
          <cell r="O125">
            <v>544809.67000000004</v>
          </cell>
        </row>
        <row r="126">
          <cell r="M126" t="str">
            <v>Ул. Левитана дом 22</v>
          </cell>
          <cell r="N126">
            <v>1552241.64</v>
          </cell>
          <cell r="O126">
            <v>1558314.21</v>
          </cell>
        </row>
        <row r="127">
          <cell r="M127" t="str">
            <v>Ул. Левитана дом 22/1</v>
          </cell>
          <cell r="N127">
            <v>504416.43</v>
          </cell>
          <cell r="O127">
            <v>487536.04</v>
          </cell>
        </row>
        <row r="128">
          <cell r="M128" t="str">
            <v>Ул. Левитана дом 22/2</v>
          </cell>
          <cell r="N128">
            <v>560355.57999999996</v>
          </cell>
          <cell r="O128">
            <v>605295.39999999991</v>
          </cell>
        </row>
        <row r="129">
          <cell r="M129" t="str">
            <v>Ул. Левитана дом 36</v>
          </cell>
          <cell r="N129">
            <v>1403424</v>
          </cell>
          <cell r="O129">
            <v>1405377.2400000002</v>
          </cell>
        </row>
        <row r="130">
          <cell r="M130" t="str">
            <v>Ул. Левитана дом 36/1</v>
          </cell>
          <cell r="N130">
            <v>1206128.6100000001</v>
          </cell>
          <cell r="O130">
            <v>1206694.0900000001</v>
          </cell>
        </row>
        <row r="131">
          <cell r="M131" t="str">
            <v>Ул. Левитана дом 38</v>
          </cell>
          <cell r="N131">
            <v>922365.58000000007</v>
          </cell>
          <cell r="O131">
            <v>925523.16</v>
          </cell>
        </row>
        <row r="132">
          <cell r="M132" t="str">
            <v>Ул. Левитана дом 38/1</v>
          </cell>
          <cell r="N132">
            <v>371986.4</v>
          </cell>
          <cell r="O132">
            <v>353805.37</v>
          </cell>
        </row>
        <row r="133">
          <cell r="M133" t="str">
            <v>Ул. Левитана дом 38/2</v>
          </cell>
          <cell r="N133">
            <v>495642.6</v>
          </cell>
          <cell r="O133">
            <v>475575.98</v>
          </cell>
        </row>
        <row r="134">
          <cell r="M134" t="str">
            <v>Ул. Левитана дом 38/3</v>
          </cell>
          <cell r="N134">
            <v>1957230.3</v>
          </cell>
          <cell r="O134">
            <v>1830604.42</v>
          </cell>
        </row>
        <row r="135">
          <cell r="M135" t="str">
            <v>Ул. Левитана дом 71</v>
          </cell>
          <cell r="N135">
            <v>1073334.92</v>
          </cell>
          <cell r="O135">
            <v>1061735.45</v>
          </cell>
        </row>
        <row r="136">
          <cell r="M136" t="str">
            <v>Ул. Минская дом 58</v>
          </cell>
          <cell r="N136">
            <v>472230.84</v>
          </cell>
          <cell r="O136">
            <v>447677.74</v>
          </cell>
        </row>
        <row r="137">
          <cell r="M137" t="str">
            <v>Ул. Новороссийская дом 2</v>
          </cell>
          <cell r="N137">
            <v>473525.97</v>
          </cell>
          <cell r="O137">
            <v>331276.15000000002</v>
          </cell>
        </row>
        <row r="138">
          <cell r="M138" t="str">
            <v>Ул. Правды дом 25</v>
          </cell>
          <cell r="N138">
            <v>2574233.4700000002</v>
          </cell>
          <cell r="O138">
            <v>2489842.2599999998</v>
          </cell>
        </row>
        <row r="139">
          <cell r="M139" t="str">
            <v>Ул. Правды дом 25/1</v>
          </cell>
          <cell r="N139">
            <v>302068.2</v>
          </cell>
          <cell r="O139">
            <v>305493.65000000002</v>
          </cell>
        </row>
        <row r="140">
          <cell r="M140" t="str">
            <v>Ул. Правды дом 25/2</v>
          </cell>
          <cell r="N140">
            <v>1133366.3999999999</v>
          </cell>
          <cell r="O140">
            <v>1141893.7</v>
          </cell>
        </row>
        <row r="141">
          <cell r="M141" t="str">
            <v>Ул. Правды дом 31/1</v>
          </cell>
          <cell r="N141">
            <v>738525.77</v>
          </cell>
          <cell r="O141">
            <v>714407.35000000009</v>
          </cell>
        </row>
        <row r="142">
          <cell r="M142" t="str">
            <v>Ул. Правды дом 37/1</v>
          </cell>
          <cell r="N142">
            <v>2074707.24</v>
          </cell>
          <cell r="O142">
            <v>2021705.9100000001</v>
          </cell>
        </row>
        <row r="143">
          <cell r="M143" t="str">
            <v>Ул. Дагестанская дом 5</v>
          </cell>
          <cell r="N143">
            <v>227854.36</v>
          </cell>
          <cell r="O143">
            <v>205097.16</v>
          </cell>
        </row>
        <row r="144">
          <cell r="M144" t="str">
            <v>Ул. Левитана дом 3</v>
          </cell>
          <cell r="N144">
            <v>306624.02</v>
          </cell>
          <cell r="O144">
            <v>352130.96</v>
          </cell>
        </row>
        <row r="145">
          <cell r="M145" t="str">
            <v>Ул. Левитана дом 5</v>
          </cell>
          <cell r="N145">
            <v>341288.04</v>
          </cell>
          <cell r="O145">
            <v>353582.95</v>
          </cell>
        </row>
        <row r="146">
          <cell r="M146" t="str">
            <v>Ул. Левитана дом 7/А</v>
          </cell>
          <cell r="N146">
            <v>111616.24</v>
          </cell>
          <cell r="O146">
            <v>111856.21</v>
          </cell>
        </row>
        <row r="147">
          <cell r="M147" t="str">
            <v>Ул. Левитана дом 9</v>
          </cell>
          <cell r="N147">
            <v>187267.44</v>
          </cell>
          <cell r="O147">
            <v>167987.69</v>
          </cell>
        </row>
        <row r="148">
          <cell r="M148" t="str">
            <v>Ул. Левитана дом 9/А</v>
          </cell>
          <cell r="N148">
            <v>108086.04</v>
          </cell>
          <cell r="O148">
            <v>107482.34</v>
          </cell>
        </row>
        <row r="149">
          <cell r="M149" t="str">
            <v>Ул. Левитана дом 13</v>
          </cell>
          <cell r="N149">
            <v>266255</v>
          </cell>
          <cell r="O149">
            <v>230381.87</v>
          </cell>
        </row>
        <row r="150">
          <cell r="M150" t="str">
            <v>Ул. Левитана дом 15</v>
          </cell>
          <cell r="N150">
            <v>147859.74</v>
          </cell>
          <cell r="O150">
            <v>110320.71</v>
          </cell>
        </row>
        <row r="151">
          <cell r="M151" t="str">
            <v>Ул. Левитана дом 17</v>
          </cell>
          <cell r="N151">
            <v>141354.23999999999</v>
          </cell>
          <cell r="O151">
            <v>150163.89000000001</v>
          </cell>
        </row>
        <row r="152">
          <cell r="M152" t="str">
            <v>Ул. Левитана дом 19</v>
          </cell>
          <cell r="N152">
            <v>141864.78</v>
          </cell>
          <cell r="O152">
            <v>127054.29</v>
          </cell>
        </row>
        <row r="153">
          <cell r="M153" t="str">
            <v>Ул. Левитана дом 21</v>
          </cell>
          <cell r="N153">
            <v>112670.3</v>
          </cell>
          <cell r="O153">
            <v>103201.69</v>
          </cell>
        </row>
        <row r="154">
          <cell r="M154" t="str">
            <v>Ул. Левитана дом 23</v>
          </cell>
          <cell r="N154">
            <v>115094.64</v>
          </cell>
          <cell r="O154">
            <v>99979.54</v>
          </cell>
        </row>
        <row r="155">
          <cell r="M155" t="str">
            <v>Ул. Локомотивная дом 2</v>
          </cell>
          <cell r="N155">
            <v>20589.919999999998</v>
          </cell>
          <cell r="O155">
            <v>21721.59</v>
          </cell>
        </row>
        <row r="156">
          <cell r="M156" t="str">
            <v>Ул. Локомотивная дом 4</v>
          </cell>
          <cell r="N156">
            <v>21589.5</v>
          </cell>
          <cell r="O156">
            <v>21444.75</v>
          </cell>
        </row>
        <row r="157">
          <cell r="M157" t="str">
            <v>Ул. Локомотивная дом 6</v>
          </cell>
          <cell r="N157">
            <v>41221.58</v>
          </cell>
          <cell r="O157">
            <v>38277</v>
          </cell>
        </row>
        <row r="158">
          <cell r="M158" t="str">
            <v>Ул. Локомотивная дом 26</v>
          </cell>
          <cell r="N158">
            <v>29171.88</v>
          </cell>
          <cell r="O158">
            <v>27163.73</v>
          </cell>
        </row>
        <row r="159">
          <cell r="M159" t="str">
            <v>Ул. Мусы Джалиля дом 4</v>
          </cell>
          <cell r="N159">
            <v>86524.38</v>
          </cell>
          <cell r="O159">
            <v>75766.509999999995</v>
          </cell>
        </row>
        <row r="160">
          <cell r="M160" t="str">
            <v>Ул. Мусы Джалиля дом 6</v>
          </cell>
          <cell r="N160">
            <v>158967.07999999999</v>
          </cell>
          <cell r="O160">
            <v>117691.53</v>
          </cell>
        </row>
        <row r="161">
          <cell r="M161" t="str">
            <v>Ул. Мусы Джалиля дом 8</v>
          </cell>
          <cell r="N161">
            <v>78555.28</v>
          </cell>
          <cell r="O161">
            <v>70744.25</v>
          </cell>
        </row>
        <row r="162">
          <cell r="M162" t="str">
            <v>Ул. Мусы Джалиля дом 10</v>
          </cell>
          <cell r="N162">
            <v>210753.94</v>
          </cell>
          <cell r="O162">
            <v>245554.35</v>
          </cell>
        </row>
        <row r="163">
          <cell r="M163" t="str">
            <v>Ул. Правды дом 12</v>
          </cell>
          <cell r="N163">
            <v>283695.93</v>
          </cell>
          <cell r="O163">
            <v>234173.4</v>
          </cell>
        </row>
        <row r="164">
          <cell r="M164" t="str">
            <v>Ул. Рядовая дом 2</v>
          </cell>
          <cell r="N164">
            <v>113325.62</v>
          </cell>
          <cell r="O164">
            <v>100139.49</v>
          </cell>
        </row>
        <row r="165">
          <cell r="M165" t="str">
            <v>Ул. Рядовая дом 3</v>
          </cell>
          <cell r="N165">
            <v>97473.72</v>
          </cell>
          <cell r="O165">
            <v>81617.17</v>
          </cell>
        </row>
        <row r="166">
          <cell r="M166" t="str">
            <v>Ул. Рядовая дом 3/1</v>
          </cell>
          <cell r="N166">
            <v>152158.20000000001</v>
          </cell>
          <cell r="O166">
            <v>144483.66</v>
          </cell>
        </row>
        <row r="167">
          <cell r="M167" t="str">
            <v>Ул. Рядовая дом 5</v>
          </cell>
          <cell r="N167">
            <v>108444.48</v>
          </cell>
          <cell r="O167">
            <v>110502.28</v>
          </cell>
        </row>
        <row r="168">
          <cell r="M168" t="str">
            <v>Ул. Рядовая дом 5/1</v>
          </cell>
          <cell r="N168">
            <v>173949.26</v>
          </cell>
          <cell r="O168">
            <v>171151.2</v>
          </cell>
        </row>
        <row r="169">
          <cell r="M169" t="str">
            <v>Ул. Рядовая дом 7</v>
          </cell>
          <cell r="N169">
            <v>127019.3</v>
          </cell>
          <cell r="O169">
            <v>137595.59</v>
          </cell>
        </row>
        <row r="170">
          <cell r="M170" t="str">
            <v>Ул. Рядовая дом 7/1</v>
          </cell>
          <cell r="N170">
            <v>184660.72</v>
          </cell>
          <cell r="O170">
            <v>176066.31</v>
          </cell>
        </row>
        <row r="171">
          <cell r="M171" t="str">
            <v>Ул. Таллинская дом 2/1</v>
          </cell>
          <cell r="N171">
            <v>147240.29999999999</v>
          </cell>
          <cell r="O171">
            <v>136823.72</v>
          </cell>
        </row>
        <row r="172">
          <cell r="M172" t="str">
            <v>Ул. Таллинская дом 3/1</v>
          </cell>
          <cell r="N172">
            <v>241326.3</v>
          </cell>
          <cell r="O172">
            <v>229810.75</v>
          </cell>
        </row>
        <row r="173">
          <cell r="M173" t="str">
            <v>Ул. Таллинская дом 3/А</v>
          </cell>
          <cell r="N173">
            <v>89219.56</v>
          </cell>
          <cell r="O173">
            <v>76790.39</v>
          </cell>
        </row>
        <row r="174">
          <cell r="M174" t="str">
            <v>Ул. Таллинская дом 3/Б</v>
          </cell>
          <cell r="N174">
            <v>83974.840000000011</v>
          </cell>
          <cell r="O174">
            <v>84443.97</v>
          </cell>
        </row>
        <row r="177">
          <cell r="M177" t="str">
            <v>Ул. Таллинская дом 16</v>
          </cell>
          <cell r="N177">
            <v>150042.9</v>
          </cell>
          <cell r="O177">
            <v>143697.57999999999</v>
          </cell>
        </row>
        <row r="178">
          <cell r="M178" t="str">
            <v>Ул. Таллинская дом 18</v>
          </cell>
          <cell r="N178">
            <v>189666.11</v>
          </cell>
          <cell r="O178">
            <v>124826.89</v>
          </cell>
        </row>
        <row r="179">
          <cell r="M179" t="str">
            <v>Ул. Таллинская дом 20</v>
          </cell>
          <cell r="N179">
            <v>160228.14000000001</v>
          </cell>
          <cell r="O179">
            <v>147378.5</v>
          </cell>
        </row>
        <row r="180">
          <cell r="M180" t="str">
            <v>Ул. Таллинская дом 22</v>
          </cell>
          <cell r="N180">
            <v>127541.54</v>
          </cell>
          <cell r="O180">
            <v>120211.51</v>
          </cell>
        </row>
        <row r="181">
          <cell r="M181" t="str">
            <v>Ул. Таллинская дом 24</v>
          </cell>
          <cell r="N181">
            <v>163386.29999999999</v>
          </cell>
          <cell r="O181">
            <v>158069.6</v>
          </cell>
        </row>
        <row r="182">
          <cell r="M182" t="str">
            <v>Ул. Таллинская дом 26</v>
          </cell>
          <cell r="N182">
            <v>156776.11000000002</v>
          </cell>
          <cell r="O182">
            <v>149165.91</v>
          </cell>
        </row>
        <row r="183">
          <cell r="M183" t="str">
            <v>Ул. Таллинская дом 28</v>
          </cell>
          <cell r="N183">
            <v>150335.26</v>
          </cell>
          <cell r="O183">
            <v>153293.95000000001</v>
          </cell>
        </row>
        <row r="184">
          <cell r="M184" t="str">
            <v>Ул. Ухтомского дом 5</v>
          </cell>
          <cell r="N184">
            <v>135778.9</v>
          </cell>
          <cell r="O184">
            <v>124813.65</v>
          </cell>
        </row>
        <row r="185">
          <cell r="M185" t="str">
            <v>Ул. Центральная дом 2</v>
          </cell>
          <cell r="N185">
            <v>246504.24</v>
          </cell>
          <cell r="O185">
            <v>267464.01</v>
          </cell>
        </row>
        <row r="186">
          <cell r="M186" t="str">
            <v>Ул. Центральная дом 4</v>
          </cell>
          <cell r="N186">
            <v>195499.22</v>
          </cell>
          <cell r="O186">
            <v>201620.15</v>
          </cell>
        </row>
        <row r="187">
          <cell r="M187" t="str">
            <v>Ул. Центральная дом 4/А</v>
          </cell>
          <cell r="N187">
            <v>98585.12</v>
          </cell>
          <cell r="O187">
            <v>131106.29999999999</v>
          </cell>
        </row>
        <row r="188">
          <cell r="M188" t="str">
            <v>Ул. Центральная дом 6</v>
          </cell>
          <cell r="N188">
            <v>195450.9</v>
          </cell>
          <cell r="O188">
            <v>192226.57</v>
          </cell>
        </row>
        <row r="189">
          <cell r="M189" t="str">
            <v>Ул. Центральная дом 8</v>
          </cell>
          <cell r="N189">
            <v>306215.36</v>
          </cell>
          <cell r="O189">
            <v>254543.1</v>
          </cell>
        </row>
        <row r="190">
          <cell r="M190" t="str">
            <v>Ул. Центральная дом 10</v>
          </cell>
          <cell r="N190">
            <v>172680.1</v>
          </cell>
          <cell r="O190">
            <v>224462.13</v>
          </cell>
        </row>
        <row r="191">
          <cell r="M191" t="str">
            <v>Ул. Центральная дом 12</v>
          </cell>
          <cell r="N191">
            <v>164084.56</v>
          </cell>
          <cell r="O191">
            <v>124393.96</v>
          </cell>
        </row>
        <row r="192">
          <cell r="M192" t="str">
            <v>Ул. Центральная дом 12/А</v>
          </cell>
          <cell r="N192">
            <v>112400.3</v>
          </cell>
          <cell r="O192">
            <v>112473.78</v>
          </cell>
        </row>
        <row r="193">
          <cell r="M193" t="str">
            <v>Ул. Центральная дом 14</v>
          </cell>
          <cell r="N193">
            <v>267410.74</v>
          </cell>
          <cell r="O193">
            <v>270900.67</v>
          </cell>
        </row>
        <row r="194">
          <cell r="M194" t="str">
            <v>Ул. Центральная дом 14/А</v>
          </cell>
          <cell r="N194">
            <v>177081.58</v>
          </cell>
          <cell r="O194">
            <v>161568.76</v>
          </cell>
        </row>
        <row r="195">
          <cell r="M195" t="str">
            <v>Ул. Центральная дом 16</v>
          </cell>
          <cell r="N195">
            <v>261118.96</v>
          </cell>
          <cell r="O195">
            <v>262938.65999999997</v>
          </cell>
        </row>
        <row r="196">
          <cell r="M196" t="str">
            <v>Ул. Центральная дом 22</v>
          </cell>
          <cell r="N196">
            <v>98962.74</v>
          </cell>
          <cell r="O196">
            <v>94577.04</v>
          </cell>
        </row>
        <row r="197">
          <cell r="M197" t="str">
            <v>Ул. Центральная дом 22/А</v>
          </cell>
          <cell r="N197">
            <v>124622.32</v>
          </cell>
          <cell r="O197">
            <v>121445.95</v>
          </cell>
        </row>
        <row r="198">
          <cell r="M198" t="str">
            <v>Ул. Центральная дом 28</v>
          </cell>
          <cell r="N198">
            <v>166085.26999999999</v>
          </cell>
          <cell r="O198">
            <v>158163.98000000001</v>
          </cell>
        </row>
        <row r="199">
          <cell r="M199" t="str">
            <v>Ул. Центральная дом 30</v>
          </cell>
          <cell r="N199">
            <v>221686.42</v>
          </cell>
          <cell r="O199">
            <v>176957.22</v>
          </cell>
        </row>
        <row r="200">
          <cell r="M200" t="str">
            <v>Ул. Центральная дом 34</v>
          </cell>
          <cell r="N200">
            <v>107201.62</v>
          </cell>
          <cell r="O200">
            <v>106289.08</v>
          </cell>
        </row>
        <row r="201">
          <cell r="M201" t="str">
            <v>Ул. Альшеевская дом 10</v>
          </cell>
          <cell r="N201">
            <v>155563.79999999999</v>
          </cell>
          <cell r="O201">
            <v>157807.6</v>
          </cell>
        </row>
        <row r="202">
          <cell r="M202" t="str">
            <v>Ул. Альшеевская дом 12</v>
          </cell>
          <cell r="N202">
            <v>95104.9</v>
          </cell>
          <cell r="O202">
            <v>79715.37</v>
          </cell>
        </row>
        <row r="203">
          <cell r="M203" t="str">
            <v>Ул. Альшеевская дом 12/А</v>
          </cell>
          <cell r="N203">
            <v>33777.040000000001</v>
          </cell>
          <cell r="O203">
            <v>33447.56</v>
          </cell>
        </row>
        <row r="204">
          <cell r="M204" t="str">
            <v>Ул. Альшеевская дом 14</v>
          </cell>
          <cell r="N204">
            <v>82068.600000000006</v>
          </cell>
          <cell r="O204">
            <v>72140.23</v>
          </cell>
        </row>
        <row r="205">
          <cell r="M205" t="str">
            <v>Ул. Альшеевская дом 14/А</v>
          </cell>
          <cell r="N205">
            <v>29547.86</v>
          </cell>
          <cell r="O205">
            <v>28491.21</v>
          </cell>
        </row>
        <row r="206">
          <cell r="M206" t="str">
            <v>Ул. Альшеевская дом 15</v>
          </cell>
          <cell r="N206">
            <v>41943.96</v>
          </cell>
          <cell r="O206">
            <v>43493.14</v>
          </cell>
        </row>
        <row r="207">
          <cell r="M207" t="str">
            <v>Ул. Альшеевская дом 20/А</v>
          </cell>
          <cell r="N207">
            <v>30456.78</v>
          </cell>
          <cell r="O207">
            <v>28277.53</v>
          </cell>
        </row>
        <row r="208">
          <cell r="M208" t="str">
            <v>Ул. Альшеевская дом 32/A</v>
          </cell>
          <cell r="N208">
            <v>25614.54</v>
          </cell>
          <cell r="O208">
            <v>24533.72</v>
          </cell>
        </row>
        <row r="209">
          <cell r="M209" t="str">
            <v>Ул. Аургазинская дом 8</v>
          </cell>
          <cell r="N209">
            <v>60270.78</v>
          </cell>
          <cell r="O209">
            <v>51193.1</v>
          </cell>
        </row>
        <row r="210">
          <cell r="M210" t="str">
            <v>Ул. Левитана дом 8</v>
          </cell>
          <cell r="N210">
            <v>230087.48</v>
          </cell>
          <cell r="O210">
            <v>256659.59</v>
          </cell>
        </row>
        <row r="211">
          <cell r="M211" t="str">
            <v>Ул. Магистральная дом 7</v>
          </cell>
          <cell r="N211">
            <v>97842.26</v>
          </cell>
          <cell r="O211">
            <v>86511.05</v>
          </cell>
        </row>
        <row r="212">
          <cell r="M212" t="str">
            <v>Ул. Магистральная дом 7/A</v>
          </cell>
          <cell r="N212">
            <v>21836.16</v>
          </cell>
          <cell r="O212">
            <v>23367.45</v>
          </cell>
        </row>
        <row r="213">
          <cell r="M213" t="str">
            <v>Ул. Магистральная дом 9</v>
          </cell>
          <cell r="N213">
            <v>77250.460000000006</v>
          </cell>
          <cell r="O213">
            <v>41175.24</v>
          </cell>
        </row>
        <row r="214">
          <cell r="M214" t="str">
            <v>Ул. Магистральная дом 9/A</v>
          </cell>
          <cell r="N214">
            <v>50450.22</v>
          </cell>
          <cell r="O214">
            <v>77825.64</v>
          </cell>
        </row>
        <row r="215">
          <cell r="M215" t="str">
            <v>Ул. Магистральная дом 11</v>
          </cell>
          <cell r="N215">
            <v>10193.17</v>
          </cell>
          <cell r="O215">
            <v>0</v>
          </cell>
        </row>
        <row r="216">
          <cell r="M216" t="str">
            <v>Ул. Магистральная дом 11/A</v>
          </cell>
          <cell r="N216">
            <v>5446.9500000000007</v>
          </cell>
          <cell r="O216">
            <v>52062.27</v>
          </cell>
        </row>
        <row r="217">
          <cell r="M217" t="str">
            <v>Ул. Магистральная дом 12/1</v>
          </cell>
          <cell r="N217">
            <v>75227.039999999994</v>
          </cell>
          <cell r="O217">
            <v>61106.15</v>
          </cell>
        </row>
        <row r="218">
          <cell r="M218" t="str">
            <v>Ул. Магистральная дом 17</v>
          </cell>
          <cell r="N218">
            <v>37215.32</v>
          </cell>
          <cell r="O218">
            <v>37843.32</v>
          </cell>
        </row>
        <row r="219">
          <cell r="M219" t="str">
            <v>Ул. Магистральная дом 36</v>
          </cell>
          <cell r="N219">
            <v>83139.02</v>
          </cell>
          <cell r="O219">
            <v>83884.600000000006</v>
          </cell>
        </row>
        <row r="220">
          <cell r="M220" t="str">
            <v>Ул. Туринская дом 2А</v>
          </cell>
          <cell r="N220">
            <v>37227.310000000005</v>
          </cell>
          <cell r="O220">
            <v>19688.97</v>
          </cell>
        </row>
        <row r="221">
          <cell r="M221" t="str">
            <v>Ул. Туринская дом 2Б</v>
          </cell>
          <cell r="N221">
            <v>60787.21</v>
          </cell>
          <cell r="O221">
            <v>55075</v>
          </cell>
        </row>
        <row r="222">
          <cell r="M222" t="str">
            <v>Ул. Ухтомского дом 21</v>
          </cell>
          <cell r="N222">
            <v>101856.16</v>
          </cell>
          <cell r="O222">
            <v>91209.29</v>
          </cell>
        </row>
        <row r="223">
          <cell r="M223" t="str">
            <v>Ул. Ухтомского дом 23</v>
          </cell>
          <cell r="N223">
            <v>97309.66</v>
          </cell>
          <cell r="O223">
            <v>79717.52</v>
          </cell>
        </row>
        <row r="224">
          <cell r="M224" t="str">
            <v>Ул. Юматовская дом 2/Б</v>
          </cell>
          <cell r="N224">
            <v>116893.45999999999</v>
          </cell>
          <cell r="O224">
            <v>118991.11</v>
          </cell>
        </row>
        <row r="226">
          <cell r="M226" t="str">
            <v>Ул. Левитана дом 37</v>
          </cell>
          <cell r="N226">
            <v>140405.92000000001</v>
          </cell>
          <cell r="O226">
            <v>128492.61</v>
          </cell>
        </row>
        <row r="227">
          <cell r="M227" t="str">
            <v>Ул. Левитана дом 39</v>
          </cell>
          <cell r="N227">
            <v>66619.839999999997</v>
          </cell>
          <cell r="O227">
            <v>76538.960000000006</v>
          </cell>
        </row>
        <row r="228">
          <cell r="M228" t="str">
            <v>Ул. Левитана дом 39/А</v>
          </cell>
          <cell r="N228">
            <v>87675.02</v>
          </cell>
          <cell r="O228">
            <v>114896.07</v>
          </cell>
        </row>
        <row r="229">
          <cell r="M229" t="str">
            <v>Ул. Левитана дом 41</v>
          </cell>
          <cell r="N229">
            <v>107015.84</v>
          </cell>
          <cell r="O229">
            <v>168007.1</v>
          </cell>
        </row>
        <row r="230">
          <cell r="M230" t="str">
            <v>Ул. Левитана дом 41/А</v>
          </cell>
          <cell r="N230">
            <v>117559.98</v>
          </cell>
          <cell r="O230">
            <v>98015.33</v>
          </cell>
        </row>
        <row r="231">
          <cell r="M231" t="str">
            <v>Ул. Левитана дом 41/Б</v>
          </cell>
          <cell r="N231">
            <v>98245.92</v>
          </cell>
          <cell r="O231">
            <v>85225.24</v>
          </cell>
        </row>
        <row r="232">
          <cell r="M232" t="str">
            <v>Ул. Левитана дом 43</v>
          </cell>
          <cell r="N232">
            <v>105049.78</v>
          </cell>
          <cell r="O232">
            <v>85777.54</v>
          </cell>
        </row>
        <row r="233">
          <cell r="M233" t="str">
            <v>Ул. Левитана дом 43/А</v>
          </cell>
          <cell r="N233">
            <v>107293.86</v>
          </cell>
          <cell r="O233">
            <v>100158.94</v>
          </cell>
        </row>
        <row r="234">
          <cell r="M234" t="str">
            <v>Ул. Мусы Джалиля дом 5</v>
          </cell>
          <cell r="N234">
            <v>156655.34</v>
          </cell>
          <cell r="O234">
            <v>167627.35</v>
          </cell>
        </row>
        <row r="235">
          <cell r="M235" t="str">
            <v>Ул. Новороссийская дом 4</v>
          </cell>
          <cell r="N235">
            <v>69436.98</v>
          </cell>
          <cell r="O235">
            <v>65793.919999999998</v>
          </cell>
        </row>
        <row r="236">
          <cell r="M236" t="str">
            <v>Ул. Новороссийская дом 6</v>
          </cell>
          <cell r="N236">
            <v>77210.62</v>
          </cell>
          <cell r="O236">
            <v>72407.53</v>
          </cell>
        </row>
        <row r="237">
          <cell r="M237" t="str">
            <v>Ул. Новороссийская дом 8</v>
          </cell>
          <cell r="N237">
            <v>98823.46</v>
          </cell>
          <cell r="O237">
            <v>104679.37</v>
          </cell>
        </row>
        <row r="238">
          <cell r="M238" t="str">
            <v>Ул. Новороссийская дом 10</v>
          </cell>
          <cell r="N238">
            <v>98125.22</v>
          </cell>
          <cell r="O238">
            <v>92458.15</v>
          </cell>
        </row>
        <row r="239">
          <cell r="M239" t="str">
            <v>Ул. Рядовая дом 9</v>
          </cell>
          <cell r="N239">
            <v>106993.66</v>
          </cell>
          <cell r="O239">
            <v>88325.5</v>
          </cell>
        </row>
        <row r="240">
          <cell r="M240" t="str">
            <v>Ул. Рядовая дом 10</v>
          </cell>
          <cell r="N240">
            <v>94079.64</v>
          </cell>
          <cell r="O240">
            <v>95763.75</v>
          </cell>
        </row>
        <row r="241">
          <cell r="M241" t="str">
            <v>Ул. Рядовая дом 11</v>
          </cell>
          <cell r="N241">
            <v>108381.18</v>
          </cell>
          <cell r="O241">
            <v>102972.16</v>
          </cell>
        </row>
        <row r="242">
          <cell r="M242" t="str">
            <v>Ул. Рядовая дом 12</v>
          </cell>
          <cell r="N242">
            <v>108485.66</v>
          </cell>
          <cell r="O242">
            <v>93167.78</v>
          </cell>
        </row>
        <row r="243">
          <cell r="M243" t="str">
            <v>Ул. Рядовая дом 13</v>
          </cell>
          <cell r="N243">
            <v>134313.66</v>
          </cell>
          <cell r="O243">
            <v>105321.4</v>
          </cell>
        </row>
        <row r="244">
          <cell r="M244" t="str">
            <v>Ул. Рядовая дом 15</v>
          </cell>
          <cell r="N244">
            <v>142760.44</v>
          </cell>
          <cell r="O244">
            <v>160284.21</v>
          </cell>
        </row>
        <row r="245">
          <cell r="M245" t="str">
            <v>Ул. Центральная дом 31/1</v>
          </cell>
          <cell r="N245">
            <v>35332.300000000003</v>
          </cell>
          <cell r="O245">
            <v>34214.589999999997</v>
          </cell>
        </row>
        <row r="246">
          <cell r="M246" t="str">
            <v>Ул. Центральная дом 38</v>
          </cell>
          <cell r="N246">
            <v>128842.28</v>
          </cell>
          <cell r="O246">
            <v>117440.49</v>
          </cell>
        </row>
        <row r="247">
          <cell r="M247" t="str">
            <v>Ул. Центральная дом 40</v>
          </cell>
          <cell r="N247">
            <v>123116.49</v>
          </cell>
          <cell r="O247">
            <v>116790.53</v>
          </cell>
        </row>
        <row r="248">
          <cell r="M248" t="str">
            <v>Ул. Центральная дом 42</v>
          </cell>
          <cell r="N248">
            <v>104669.58</v>
          </cell>
          <cell r="O248">
            <v>93129.05</v>
          </cell>
        </row>
        <row r="249">
          <cell r="M249" t="str">
            <v>Ул. Центральная дом 44</v>
          </cell>
          <cell r="N249">
            <v>122925.96</v>
          </cell>
          <cell r="O249">
            <v>113287.8</v>
          </cell>
        </row>
        <row r="250">
          <cell r="M250" t="str">
            <v>Ул. Центральная дом 51</v>
          </cell>
          <cell r="N250">
            <v>173187.62</v>
          </cell>
          <cell r="O250">
            <v>195026.83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91 тарифы"/>
      <sheetName val="91ОЭР"/>
      <sheetName val="91Лист1"/>
      <sheetName val="91СВОД"/>
      <sheetName val="63тарифы"/>
      <sheetName val="63СВОД"/>
      <sheetName val="34ОЭР"/>
      <sheetName val="34СВОД"/>
      <sheetName val="34тарифы"/>
      <sheetName val="32тарифы"/>
      <sheetName val="32СВОД"/>
      <sheetName val="32 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63">
          <cell r="D163">
            <v>5.3054651733843157</v>
          </cell>
        </row>
        <row r="164">
          <cell r="D164">
            <v>1.102472123785452</v>
          </cell>
        </row>
        <row r="165">
          <cell r="D165">
            <v>5.7098869372469441</v>
          </cell>
        </row>
        <row r="167">
          <cell r="D167">
            <v>6.0937448826080827</v>
          </cell>
        </row>
        <row r="170">
          <cell r="D170">
            <v>21.548139947094231</v>
          </cell>
        </row>
        <row r="173">
          <cell r="D173">
            <v>1.9626785508615805</v>
          </cell>
        </row>
        <row r="177">
          <cell r="D177">
            <v>186.91588785046727</v>
          </cell>
        </row>
        <row r="184">
          <cell r="D184">
            <v>0</v>
          </cell>
        </row>
        <row r="187">
          <cell r="D187">
            <v>0.67860601054915659</v>
          </cell>
        </row>
      </sheetData>
      <sheetData sheetId="10" refreshError="1"/>
      <sheetData sheetId="1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Лист1"/>
      <sheetName val="Пр 37-1"/>
      <sheetName val="Пр 31-1"/>
      <sheetName val="Пр 25-2"/>
      <sheetName val="Пр 25-1"/>
      <sheetName val="Пр 25"/>
      <sheetName val="Нов 10"/>
      <sheetName val="Нов 8"/>
      <sheetName val="Нов 6"/>
      <sheetName val="Нов 4"/>
      <sheetName val="Нов 2"/>
      <sheetName val="М.Дж 5"/>
      <sheetName val="Мин 58"/>
      <sheetName val="Лев 71"/>
      <sheetName val="Лев 43-а"/>
      <sheetName val="Лев 43"/>
      <sheetName val="Лев 41-б"/>
      <sheetName val="Лев 41-а"/>
      <sheetName val="Лев 41"/>
      <sheetName val="Лев 39-а"/>
      <sheetName val="Лев 39"/>
      <sheetName val="Лев 38-3"/>
      <sheetName val="Лев 38-2"/>
      <sheetName val="Лев 38-1"/>
      <sheetName val="Лев 38"/>
      <sheetName val="Лев 37"/>
      <sheetName val="Лев 36-1"/>
      <sheetName val="Лев 36"/>
    </sheetNames>
    <sheetDataSet>
      <sheetData sheetId="0">
        <row r="1">
          <cell r="M1" t="str">
            <v xml:space="preserve">Не трогать! Идет в отчет </v>
          </cell>
          <cell r="N1">
            <v>132871710.76000001</v>
          </cell>
          <cell r="O1">
            <v>131277874.77999997</v>
          </cell>
        </row>
        <row r="2">
          <cell r="M2" t="str">
            <v>С ЕРКЦ</v>
          </cell>
          <cell r="N2" t="str">
            <v>Постоянные начисления-разовые</v>
          </cell>
          <cell r="O2" t="str">
            <v>Оплата</v>
          </cell>
        </row>
        <row r="3">
          <cell r="M3" t="str">
            <v>Ул. Дагестанская дом 11/1</v>
          </cell>
          <cell r="N3">
            <v>1522487.7999999998</v>
          </cell>
          <cell r="O3">
            <v>1442812.6</v>
          </cell>
        </row>
        <row r="4">
          <cell r="M4" t="str">
            <v>Ул. Дагестанская дом 13/1</v>
          </cell>
          <cell r="N4">
            <v>1664667.45</v>
          </cell>
          <cell r="O4">
            <v>1662682.27</v>
          </cell>
        </row>
        <row r="5">
          <cell r="M5" t="str">
            <v>Ул. Дагестанская дом 13/2</v>
          </cell>
          <cell r="N5">
            <v>871034.78</v>
          </cell>
          <cell r="O5">
            <v>882990.17</v>
          </cell>
        </row>
        <row r="6">
          <cell r="M6" t="str">
            <v>Ул. Дагестанская дом 15</v>
          </cell>
          <cell r="N6">
            <v>779395.08000000007</v>
          </cell>
          <cell r="O6">
            <v>747439.42999999993</v>
          </cell>
        </row>
        <row r="7">
          <cell r="M7" t="str">
            <v>Ул. Дагестанская дом 16</v>
          </cell>
          <cell r="N7">
            <v>1368014.3199999998</v>
          </cell>
          <cell r="O7">
            <v>1313270.1599999999</v>
          </cell>
        </row>
        <row r="8">
          <cell r="M8" t="str">
            <v>Ул. Дагестанская дом 17</v>
          </cell>
          <cell r="N8">
            <v>446208.48</v>
          </cell>
          <cell r="O8">
            <v>437668.09</v>
          </cell>
        </row>
        <row r="9">
          <cell r="M9" t="str">
            <v>Ул. Дагестанская дом 19</v>
          </cell>
          <cell r="N9">
            <v>726887.46</v>
          </cell>
          <cell r="O9">
            <v>718893.08</v>
          </cell>
        </row>
        <row r="10">
          <cell r="M10" t="str">
            <v>Ул. Дагестанская дом 27</v>
          </cell>
          <cell r="N10">
            <v>1309989.5999999999</v>
          </cell>
          <cell r="O10">
            <v>1265585.44</v>
          </cell>
        </row>
        <row r="11">
          <cell r="M11" t="str">
            <v>Ул. Магистральная дом 6</v>
          </cell>
          <cell r="N11">
            <v>1904705.5999999999</v>
          </cell>
          <cell r="O11">
            <v>1876237.36</v>
          </cell>
        </row>
        <row r="12">
          <cell r="M12" t="str">
            <v>Ул. Мусоргского дом 7</v>
          </cell>
          <cell r="N12">
            <v>454862.33999999997</v>
          </cell>
          <cell r="O12">
            <v>435569.64</v>
          </cell>
        </row>
        <row r="13">
          <cell r="M13" t="str">
            <v>Ул. Мусоргского дом 9</v>
          </cell>
          <cell r="N13">
            <v>629096.15999999992</v>
          </cell>
          <cell r="O13">
            <v>602965.66999999993</v>
          </cell>
        </row>
        <row r="14">
          <cell r="M14" t="str">
            <v>Ул. Мусоргского дом 9/А</v>
          </cell>
          <cell r="N14">
            <v>536036.6</v>
          </cell>
          <cell r="O14">
            <v>506731.56</v>
          </cell>
        </row>
        <row r="15">
          <cell r="M15" t="str">
            <v>Ул. Мусоргского дом 11</v>
          </cell>
          <cell r="N15">
            <v>697741.32</v>
          </cell>
          <cell r="O15">
            <v>669265.25</v>
          </cell>
        </row>
        <row r="16">
          <cell r="M16" t="str">
            <v>Ул. Мусоргского дом 13</v>
          </cell>
          <cell r="N16">
            <v>590086.80000000005</v>
          </cell>
          <cell r="O16">
            <v>582908.30000000005</v>
          </cell>
        </row>
        <row r="17">
          <cell r="M17" t="str">
            <v>Ул. Мусоргского дом 13а</v>
          </cell>
          <cell r="N17">
            <v>703759.04</v>
          </cell>
          <cell r="O17">
            <v>688061.30999999994</v>
          </cell>
        </row>
        <row r="18">
          <cell r="M18" t="str">
            <v>Ул. Мусоргского дом 15</v>
          </cell>
          <cell r="N18">
            <v>554462.38</v>
          </cell>
          <cell r="O18">
            <v>484935.08</v>
          </cell>
        </row>
        <row r="19">
          <cell r="M19" t="str">
            <v>Ул. Мусоргского дом 15/А</v>
          </cell>
          <cell r="N19">
            <v>525988.76</v>
          </cell>
          <cell r="O19">
            <v>479907.32999999996</v>
          </cell>
        </row>
        <row r="20">
          <cell r="M20" t="str">
            <v>Ул. Мусоргского дом 17</v>
          </cell>
          <cell r="N20">
            <v>667524.88</v>
          </cell>
          <cell r="O20">
            <v>724217.25</v>
          </cell>
        </row>
        <row r="21">
          <cell r="M21" t="str">
            <v>Ул. Мусоргского дом 19/1</v>
          </cell>
          <cell r="N21">
            <v>806722.26</v>
          </cell>
          <cell r="O21">
            <v>782243.8600000001</v>
          </cell>
        </row>
        <row r="22">
          <cell r="M22" t="str">
            <v>Ул. Мусоргского дом 19/А</v>
          </cell>
          <cell r="N22">
            <v>539293.31999999995</v>
          </cell>
          <cell r="O22">
            <v>539213.04999999993</v>
          </cell>
        </row>
        <row r="23">
          <cell r="M23" t="str">
            <v>Ул. Мусоргского дом 19б</v>
          </cell>
          <cell r="N23">
            <v>517846.18</v>
          </cell>
          <cell r="O23">
            <v>522619.92</v>
          </cell>
        </row>
        <row r="24">
          <cell r="M24" t="str">
            <v>Ул. Мусоргского дом 21/1</v>
          </cell>
          <cell r="N24">
            <v>800254.67999999993</v>
          </cell>
          <cell r="O24">
            <v>792025.5</v>
          </cell>
        </row>
        <row r="25">
          <cell r="M25" t="str">
            <v>Ул. Мусоргского дом 23</v>
          </cell>
          <cell r="N25">
            <v>1607797.2200000002</v>
          </cell>
          <cell r="O25">
            <v>1558614.08</v>
          </cell>
        </row>
        <row r="26">
          <cell r="M26" t="str">
            <v>Ул. Мусоргского дом 25</v>
          </cell>
          <cell r="N26">
            <v>648077.60000000009</v>
          </cell>
          <cell r="O26">
            <v>642771.93999999994</v>
          </cell>
        </row>
        <row r="27">
          <cell r="M27" t="str">
            <v>Ул. Мусоргского дом 25/1</v>
          </cell>
          <cell r="N27">
            <v>848819.4</v>
          </cell>
          <cell r="O27">
            <v>854618.03</v>
          </cell>
        </row>
        <row r="28">
          <cell r="M28" t="str">
            <v>Ул. Правды дом 18</v>
          </cell>
          <cell r="N28">
            <v>1386013.32</v>
          </cell>
          <cell r="O28">
            <v>1407210.88</v>
          </cell>
        </row>
        <row r="29">
          <cell r="M29" t="str">
            <v>Ул. Правды дом 18/1</v>
          </cell>
          <cell r="N29">
            <v>668829.48</v>
          </cell>
          <cell r="O29">
            <v>700390.52</v>
          </cell>
        </row>
        <row r="30">
          <cell r="M30" t="str">
            <v>Ул. Правды дом 18/2</v>
          </cell>
          <cell r="N30">
            <v>441984.46</v>
          </cell>
          <cell r="O30">
            <v>484434.24</v>
          </cell>
        </row>
        <row r="31">
          <cell r="M31" t="str">
            <v>Ул. Правды дом 18/3</v>
          </cell>
          <cell r="N31">
            <v>869889.38000000012</v>
          </cell>
          <cell r="O31">
            <v>802652.5</v>
          </cell>
        </row>
        <row r="32">
          <cell r="M32" t="str">
            <v>Ул. Правды дом 20</v>
          </cell>
          <cell r="N32">
            <v>1048812.04</v>
          </cell>
          <cell r="O32">
            <v>1028552.72</v>
          </cell>
        </row>
        <row r="33">
          <cell r="M33" t="str">
            <v>Ул. Правды дом 20/1</v>
          </cell>
          <cell r="N33">
            <v>666692.34000000008</v>
          </cell>
          <cell r="O33">
            <v>655057.41999999993</v>
          </cell>
        </row>
        <row r="34">
          <cell r="M34" t="str">
            <v>Ул. Правды дом 20/2</v>
          </cell>
          <cell r="N34">
            <v>496178.2</v>
          </cell>
          <cell r="O34">
            <v>501463.72000000003</v>
          </cell>
        </row>
        <row r="35">
          <cell r="M35" t="str">
            <v>Ул. Правды дом 20/3</v>
          </cell>
          <cell r="N35">
            <v>523308.61</v>
          </cell>
          <cell r="O35">
            <v>516113.12</v>
          </cell>
        </row>
        <row r="36">
          <cell r="M36" t="str">
            <v>Ул. Таллинская дом 21</v>
          </cell>
          <cell r="N36">
            <v>651221.1</v>
          </cell>
          <cell r="O36">
            <v>646780.7300000001</v>
          </cell>
        </row>
        <row r="37">
          <cell r="M37" t="str">
            <v>Ул. Таллинская дом 21/А</v>
          </cell>
          <cell r="N37">
            <v>318864.10000000003</v>
          </cell>
          <cell r="O37">
            <v>300036.29000000004</v>
          </cell>
        </row>
        <row r="38">
          <cell r="M38" t="str">
            <v>Ул. Таллинская дом 21/Б</v>
          </cell>
          <cell r="N38">
            <v>441279.28</v>
          </cell>
          <cell r="O38">
            <v>468176.91</v>
          </cell>
        </row>
        <row r="40">
          <cell r="M40" t="str">
            <v>Ул. Таллинская дом 23</v>
          </cell>
          <cell r="N40">
            <v>522071.76</v>
          </cell>
          <cell r="O40">
            <v>511893.37</v>
          </cell>
        </row>
        <row r="41">
          <cell r="M41" t="str">
            <v>Ул. Таллинская дом 23/А</v>
          </cell>
          <cell r="N41">
            <v>674953.6</v>
          </cell>
          <cell r="O41">
            <v>655946.35</v>
          </cell>
        </row>
        <row r="42">
          <cell r="M42" t="str">
            <v>Ул. Таллинская дом 23/Б</v>
          </cell>
          <cell r="N42">
            <v>390348.06999999995</v>
          </cell>
          <cell r="O42">
            <v>332820.7</v>
          </cell>
        </row>
        <row r="45">
          <cell r="M45" t="str">
            <v>Ул. Дагестанская дом 15/1</v>
          </cell>
          <cell r="N45">
            <v>1025927.56</v>
          </cell>
          <cell r="O45">
            <v>1141483.8600000001</v>
          </cell>
        </row>
        <row r="46">
          <cell r="M46" t="str">
            <v>Ул. Дагестанская дом 17/1</v>
          </cell>
          <cell r="N46">
            <v>1683980.7599999998</v>
          </cell>
          <cell r="O46">
            <v>1673325.6500000001</v>
          </cell>
        </row>
        <row r="47">
          <cell r="M47" t="str">
            <v>Ул. Дагестанская дом 31</v>
          </cell>
          <cell r="N47">
            <v>583740.12</v>
          </cell>
          <cell r="O47">
            <v>581771.71</v>
          </cell>
        </row>
        <row r="48">
          <cell r="M48" t="str">
            <v>Ул. Мусоргского дом 21</v>
          </cell>
          <cell r="N48">
            <v>500288.52</v>
          </cell>
          <cell r="O48">
            <v>496645.77</v>
          </cell>
        </row>
        <row r="49">
          <cell r="M49" t="str">
            <v>Ул. Дагестанская дом 7</v>
          </cell>
          <cell r="N49">
            <v>288320.76</v>
          </cell>
          <cell r="O49">
            <v>307424.43</v>
          </cell>
        </row>
        <row r="50">
          <cell r="M50" t="str">
            <v>Ул. Дагестанская дом 9</v>
          </cell>
          <cell r="N50">
            <v>325613.37000000005</v>
          </cell>
          <cell r="O50">
            <v>269364.33999999997</v>
          </cell>
        </row>
        <row r="51">
          <cell r="M51" t="str">
            <v>Ул. Дагестанская дом 9/1</v>
          </cell>
          <cell r="N51">
            <v>130564.32</v>
          </cell>
          <cell r="O51">
            <v>131422.06</v>
          </cell>
        </row>
        <row r="52">
          <cell r="M52" t="str">
            <v>Ул. Дагестанская дом 11</v>
          </cell>
          <cell r="N52">
            <v>324557.04000000004</v>
          </cell>
          <cell r="O52">
            <v>337170.29000000004</v>
          </cell>
        </row>
        <row r="53">
          <cell r="M53" t="str">
            <v>Ул. Дагестанская дом 13</v>
          </cell>
          <cell r="N53">
            <v>263263.89999999997</v>
          </cell>
          <cell r="O53">
            <v>276130.94</v>
          </cell>
        </row>
        <row r="54">
          <cell r="M54" t="str">
            <v>Ул. Левитана дом 7</v>
          </cell>
          <cell r="N54">
            <v>379457.68000000005</v>
          </cell>
          <cell r="O54">
            <v>383572.86000000004</v>
          </cell>
        </row>
        <row r="55">
          <cell r="M55" t="str">
            <v>Ул. Левитана дом 14/1</v>
          </cell>
          <cell r="N55">
            <v>708021.1399999999</v>
          </cell>
          <cell r="O55">
            <v>791846.8899999999</v>
          </cell>
        </row>
        <row r="56">
          <cell r="M56" t="str">
            <v>Ул. Левитана дом 14/2</v>
          </cell>
          <cell r="N56">
            <v>712075.84</v>
          </cell>
          <cell r="O56">
            <v>675188.72</v>
          </cell>
        </row>
        <row r="57">
          <cell r="M57" t="str">
            <v>Ул. Левитана дом 14/3</v>
          </cell>
          <cell r="N57">
            <v>699129.06</v>
          </cell>
          <cell r="O57">
            <v>704304.6</v>
          </cell>
        </row>
        <row r="58">
          <cell r="M58" t="str">
            <v>Ул. Левитана дом 20</v>
          </cell>
          <cell r="N58">
            <v>1646397.48</v>
          </cell>
          <cell r="O58">
            <v>1697920.65</v>
          </cell>
        </row>
        <row r="59">
          <cell r="M59" t="str">
            <v>Ул. Левитана дом 21/А</v>
          </cell>
          <cell r="N59">
            <v>248190.02</v>
          </cell>
          <cell r="O59">
            <v>237934.37</v>
          </cell>
        </row>
        <row r="60">
          <cell r="M60" t="str">
            <v>Ул. Правды дом 1</v>
          </cell>
          <cell r="N60">
            <v>889138.05999999994</v>
          </cell>
          <cell r="O60">
            <v>828864.26</v>
          </cell>
        </row>
        <row r="61">
          <cell r="M61" t="str">
            <v>Ул. Правды дом 2</v>
          </cell>
          <cell r="N61">
            <v>235249.88</v>
          </cell>
          <cell r="O61">
            <v>229578.48</v>
          </cell>
        </row>
        <row r="62">
          <cell r="M62" t="str">
            <v>Ул. Правды дом 3</v>
          </cell>
          <cell r="N62">
            <v>458371.08</v>
          </cell>
          <cell r="O62">
            <v>439632.57</v>
          </cell>
        </row>
        <row r="63">
          <cell r="M63" t="str">
            <v>Ул. Правды дом 4</v>
          </cell>
          <cell r="N63">
            <v>298914.37999999995</v>
          </cell>
          <cell r="O63">
            <v>295780.15999999997</v>
          </cell>
        </row>
        <row r="64">
          <cell r="M64" t="str">
            <v>Ул. Правды дом 4/1</v>
          </cell>
          <cell r="N64">
            <v>403827.74</v>
          </cell>
          <cell r="O64">
            <v>390813.39</v>
          </cell>
        </row>
        <row r="65">
          <cell r="M65" t="str">
            <v>Ул. Правды дом 6</v>
          </cell>
          <cell r="N65">
            <v>327472.95</v>
          </cell>
          <cell r="O65">
            <v>249400.92</v>
          </cell>
        </row>
        <row r="66">
          <cell r="M66" t="str">
            <v>Ул. Правды дом 6/А</v>
          </cell>
          <cell r="N66">
            <v>223946.38</v>
          </cell>
          <cell r="O66">
            <v>195151.26</v>
          </cell>
        </row>
        <row r="67">
          <cell r="M67" t="str">
            <v>Ул. Правды дом 8</v>
          </cell>
          <cell r="N67">
            <v>276492.44</v>
          </cell>
          <cell r="O67">
            <v>291987.71999999997</v>
          </cell>
        </row>
        <row r="68">
          <cell r="M68" t="str">
            <v>Ул. Правды дом 8/1</v>
          </cell>
          <cell r="N68">
            <v>362491.12</v>
          </cell>
          <cell r="O68">
            <v>338480.57</v>
          </cell>
        </row>
        <row r="69">
          <cell r="M69" t="str">
            <v>Ул. Правды дом 8/А</v>
          </cell>
          <cell r="N69">
            <v>275378.40000000002</v>
          </cell>
          <cell r="O69">
            <v>272032.94</v>
          </cell>
        </row>
        <row r="70">
          <cell r="M70" t="str">
            <v>Ул. Правды дом 10</v>
          </cell>
          <cell r="N70">
            <v>189175.08</v>
          </cell>
          <cell r="O70">
            <v>198392.79</v>
          </cell>
        </row>
        <row r="71">
          <cell r="M71" t="str">
            <v>Ул. Правды дом 10/А</v>
          </cell>
          <cell r="N71">
            <v>259140.96</v>
          </cell>
          <cell r="O71">
            <v>285436.53000000003</v>
          </cell>
        </row>
        <row r="72">
          <cell r="M72" t="str">
            <v>Ул. Правды дом 11</v>
          </cell>
          <cell r="N72">
            <v>461639.28</v>
          </cell>
          <cell r="O72">
            <v>448222.27</v>
          </cell>
        </row>
        <row r="73">
          <cell r="M73" t="str">
            <v>Ул. Правды дом 13</v>
          </cell>
          <cell r="N73">
            <v>374789.28</v>
          </cell>
          <cell r="O73">
            <v>365350.86</v>
          </cell>
        </row>
        <row r="74">
          <cell r="M74" t="str">
            <v>Ул. Правды дом 15</v>
          </cell>
          <cell r="N74">
            <v>968209.22</v>
          </cell>
          <cell r="O74">
            <v>932069.77</v>
          </cell>
        </row>
        <row r="75">
          <cell r="M75" t="str">
            <v>Ул. Таллинская дом 4</v>
          </cell>
          <cell r="N75">
            <v>770207.21000000008</v>
          </cell>
          <cell r="O75">
            <v>819761.2699999999</v>
          </cell>
        </row>
        <row r="76">
          <cell r="M76" t="str">
            <v>Ул. Таллинская дом 6</v>
          </cell>
          <cell r="N76">
            <v>404719.56</v>
          </cell>
          <cell r="O76">
            <v>436243.68</v>
          </cell>
        </row>
        <row r="77">
          <cell r="M77" t="str">
            <v>Ул. Таллинская дом 7</v>
          </cell>
          <cell r="N77">
            <v>446170.58</v>
          </cell>
          <cell r="O77">
            <v>431290.48</v>
          </cell>
        </row>
        <row r="78">
          <cell r="M78" t="str">
            <v>Ул. Таллинская дом 14</v>
          </cell>
          <cell r="N78">
            <v>271837.42</v>
          </cell>
          <cell r="O78">
            <v>296422.17</v>
          </cell>
        </row>
        <row r="79">
          <cell r="M79" t="str">
            <v>Ул. Таллинская дом 24/1</v>
          </cell>
          <cell r="N79">
            <v>555268.1</v>
          </cell>
          <cell r="O79">
            <v>535942.07999999996</v>
          </cell>
        </row>
        <row r="80">
          <cell r="M80" t="str">
            <v>Ул. Таллинская дом 26/1</v>
          </cell>
          <cell r="N80">
            <v>407171.34</v>
          </cell>
          <cell r="O80">
            <v>414656.83000000007</v>
          </cell>
        </row>
        <row r="81">
          <cell r="M81" t="str">
            <v>Ул. Таллинская дом 28/1</v>
          </cell>
          <cell r="N81">
            <v>387597.88</v>
          </cell>
          <cell r="O81">
            <v>401397.9</v>
          </cell>
        </row>
        <row r="82">
          <cell r="M82" t="str">
            <v>Ул. Центральная дом 1</v>
          </cell>
          <cell r="N82">
            <v>20599.919999999998</v>
          </cell>
          <cell r="O82">
            <v>24817.48</v>
          </cell>
        </row>
        <row r="83">
          <cell r="M83" t="str">
            <v>Ул. Центральная дом 1/2</v>
          </cell>
          <cell r="N83">
            <v>1024122.76</v>
          </cell>
          <cell r="O83">
            <v>1076250.95</v>
          </cell>
        </row>
        <row r="84">
          <cell r="M84" t="str">
            <v>Ул. Центральная дом 3</v>
          </cell>
          <cell r="N84">
            <v>15218.32</v>
          </cell>
          <cell r="O84">
            <v>15069.8</v>
          </cell>
        </row>
        <row r="85">
          <cell r="M85" t="str">
            <v>Ул. Центральная дом 6/1</v>
          </cell>
          <cell r="N85">
            <v>552409.16</v>
          </cell>
          <cell r="O85">
            <v>509056.35000000003</v>
          </cell>
        </row>
        <row r="86">
          <cell r="M86" t="str">
            <v>Ул. Центральная дом 18/1</v>
          </cell>
          <cell r="N86">
            <v>298973.18</v>
          </cell>
          <cell r="O86">
            <v>302628.07</v>
          </cell>
        </row>
        <row r="87">
          <cell r="M87" t="str">
            <v>Ул. Магистральная дом 20/1</v>
          </cell>
          <cell r="N87">
            <v>689532</v>
          </cell>
          <cell r="O87">
            <v>705035.97</v>
          </cell>
        </row>
        <row r="88">
          <cell r="M88" t="str">
            <v>Ул. Магистральная дом 27</v>
          </cell>
          <cell r="N88">
            <v>1738836.48</v>
          </cell>
          <cell r="O88">
            <v>1720246.25</v>
          </cell>
        </row>
        <row r="89">
          <cell r="M89" t="str">
            <v>Ул. Мусы Джалиля дом 64</v>
          </cell>
          <cell r="N89">
            <v>2074082.07</v>
          </cell>
          <cell r="O89">
            <v>1835514.36</v>
          </cell>
        </row>
        <row r="90">
          <cell r="M90" t="str">
            <v>Ул. Мусы Джалиля дом 66</v>
          </cell>
          <cell r="N90">
            <v>2445318.5499999998</v>
          </cell>
          <cell r="O90">
            <v>2451363.9</v>
          </cell>
        </row>
        <row r="91">
          <cell r="M91" t="str">
            <v>Ул. Мусы Джалиля дом 68</v>
          </cell>
          <cell r="N91">
            <v>2030405.22</v>
          </cell>
          <cell r="O91">
            <v>1993153.96</v>
          </cell>
        </row>
        <row r="92">
          <cell r="M92" t="str">
            <v>Ул. Мусы Джалиля дом 68/1</v>
          </cell>
          <cell r="N92">
            <v>1460996.56</v>
          </cell>
          <cell r="O92">
            <v>1423608.98</v>
          </cell>
        </row>
        <row r="93">
          <cell r="M93" t="str">
            <v>Ул. Мусы Джалиля дом 72/1</v>
          </cell>
          <cell r="N93">
            <v>870747.42</v>
          </cell>
          <cell r="O93">
            <v>940735.97</v>
          </cell>
        </row>
        <row r="94">
          <cell r="M94" t="str">
            <v>Ул. Мусы Джалиля дом 74</v>
          </cell>
          <cell r="N94">
            <v>3842750.04</v>
          </cell>
          <cell r="O94">
            <v>3897433.72</v>
          </cell>
        </row>
        <row r="95">
          <cell r="M95" t="str">
            <v>Ул. Мусы Джалиля дом 74/1</v>
          </cell>
          <cell r="N95">
            <v>1557628.68</v>
          </cell>
          <cell r="O95">
            <v>1473099.78</v>
          </cell>
        </row>
        <row r="96">
          <cell r="M96" t="str">
            <v>Ул. Мусы Джалиля дом 74/3</v>
          </cell>
          <cell r="N96">
            <v>472989.81999999995</v>
          </cell>
          <cell r="O96">
            <v>437363.93999999994</v>
          </cell>
        </row>
        <row r="97">
          <cell r="M97" t="str">
            <v>Ул. Островского дом 16/1</v>
          </cell>
          <cell r="N97">
            <v>2197040.71</v>
          </cell>
          <cell r="O97">
            <v>2278521.77</v>
          </cell>
        </row>
        <row r="98">
          <cell r="M98" t="str">
            <v>Ул. Островского дом 18/1</v>
          </cell>
          <cell r="N98">
            <v>1513089.85</v>
          </cell>
          <cell r="O98">
            <v>1476211.68</v>
          </cell>
        </row>
        <row r="99">
          <cell r="M99" t="str">
            <v>Ул. Правды дом 21</v>
          </cell>
          <cell r="N99">
            <v>2473665.2400000002</v>
          </cell>
          <cell r="O99">
            <v>2448003.11</v>
          </cell>
        </row>
        <row r="100">
          <cell r="M100" t="str">
            <v>Ул. Правды дом 23</v>
          </cell>
          <cell r="N100">
            <v>866983.85</v>
          </cell>
          <cell r="O100">
            <v>887094.1100000001</v>
          </cell>
        </row>
        <row r="101">
          <cell r="M101" t="str">
            <v>Ул. Ухтомского дом 10</v>
          </cell>
          <cell r="N101">
            <v>1018464.26</v>
          </cell>
          <cell r="O101">
            <v>1061092.3700000001</v>
          </cell>
        </row>
        <row r="102">
          <cell r="M102" t="str">
            <v>Ул. Ухтомского дом 11</v>
          </cell>
          <cell r="N102">
            <v>947497.55999999994</v>
          </cell>
          <cell r="O102">
            <v>945786.02</v>
          </cell>
        </row>
        <row r="103">
          <cell r="M103" t="str">
            <v>Ул. Ухтомского дом 12</v>
          </cell>
          <cell r="N103">
            <v>2430874.04</v>
          </cell>
          <cell r="O103">
            <v>2440177.7199999997</v>
          </cell>
        </row>
        <row r="104">
          <cell r="M104" t="str">
            <v>Ул. Ухтомского дом 16</v>
          </cell>
          <cell r="N104">
            <v>1078466.3999999999</v>
          </cell>
          <cell r="O104">
            <v>1108091.3500000001</v>
          </cell>
        </row>
        <row r="105">
          <cell r="M105" t="str">
            <v>Ул. Ухтомского дом 20</v>
          </cell>
          <cell r="N105">
            <v>342920.24</v>
          </cell>
          <cell r="O105">
            <v>344176.05</v>
          </cell>
        </row>
        <row r="106">
          <cell r="M106" t="str">
            <v>Ул. Ухтомского дом 22</v>
          </cell>
          <cell r="N106">
            <v>1592704.48</v>
          </cell>
          <cell r="O106">
            <v>1670026.89</v>
          </cell>
        </row>
        <row r="107">
          <cell r="M107" t="str">
            <v>Ул. Ухтомского дом 24</v>
          </cell>
          <cell r="N107">
            <v>1337046.6400000001</v>
          </cell>
          <cell r="O107">
            <v>1312580.67</v>
          </cell>
        </row>
        <row r="108">
          <cell r="M108" t="str">
            <v>Ул. Ухтомского дом 26</v>
          </cell>
          <cell r="N108">
            <v>2944545.0999999996</v>
          </cell>
          <cell r="O108">
            <v>2896509.3</v>
          </cell>
        </row>
        <row r="109">
          <cell r="M109" t="str">
            <v>Ул. Ухтомского дом 26/2</v>
          </cell>
          <cell r="N109">
            <v>862461.24</v>
          </cell>
          <cell r="O109">
            <v>849418.79</v>
          </cell>
        </row>
        <row r="110">
          <cell r="M110" t="str">
            <v>Ул. Ухтомского дом 28</v>
          </cell>
          <cell r="N110">
            <v>1369600.56</v>
          </cell>
          <cell r="O110">
            <v>1414806.83</v>
          </cell>
        </row>
        <row r="111">
          <cell r="M111" t="str">
            <v>Ул. Ухтомского дом 30</v>
          </cell>
          <cell r="N111">
            <v>1315485.42</v>
          </cell>
          <cell r="O111">
            <v>1264537.28</v>
          </cell>
        </row>
        <row r="112">
          <cell r="M112" t="str">
            <v>Ул. Ухтомского дом 30/2</v>
          </cell>
          <cell r="N112">
            <v>1157289.3</v>
          </cell>
          <cell r="O112">
            <v>1107409.9099999999</v>
          </cell>
        </row>
        <row r="113">
          <cell r="M113" t="str">
            <v>Ул. 1-я Строителей дом 42</v>
          </cell>
          <cell r="N113">
            <v>268635.89999999997</v>
          </cell>
          <cell r="O113">
            <v>265961.95</v>
          </cell>
        </row>
        <row r="114">
          <cell r="M114" t="str">
            <v>Ул. 1-я Строителей дом 44</v>
          </cell>
          <cell r="N114">
            <v>309222.59999999998</v>
          </cell>
          <cell r="O114">
            <v>294687.95</v>
          </cell>
        </row>
        <row r="115">
          <cell r="M115" t="str">
            <v>Ул. 1-я Строителей дом 46</v>
          </cell>
          <cell r="N115">
            <v>495028.95</v>
          </cell>
          <cell r="O115">
            <v>453796.17000000004</v>
          </cell>
        </row>
        <row r="116">
          <cell r="M116" t="str">
            <v>Ул. Грозненская дом 67/1</v>
          </cell>
          <cell r="N116">
            <v>867489.24</v>
          </cell>
          <cell r="O116">
            <v>937579.37999999989</v>
          </cell>
        </row>
        <row r="117">
          <cell r="M117" t="str">
            <v>Ул. Грозненская дом 67/2</v>
          </cell>
          <cell r="N117">
            <v>431314.8</v>
          </cell>
          <cell r="O117">
            <v>439371.89</v>
          </cell>
        </row>
        <row r="118">
          <cell r="M118" t="str">
            <v>Ул. Грозненская дом 67/3</v>
          </cell>
          <cell r="N118">
            <v>755378.88</v>
          </cell>
          <cell r="O118">
            <v>756957.48</v>
          </cell>
        </row>
        <row r="119">
          <cell r="M119" t="str">
            <v>Ул. Грозненская дом 67/4</v>
          </cell>
          <cell r="N119">
            <v>382795.2</v>
          </cell>
          <cell r="O119">
            <v>412233.45999999996</v>
          </cell>
        </row>
        <row r="120">
          <cell r="M120" t="str">
            <v>Ул. Грозненская дом 67/5</v>
          </cell>
          <cell r="N120">
            <v>867242.28</v>
          </cell>
          <cell r="O120">
            <v>924399.19000000006</v>
          </cell>
        </row>
        <row r="121">
          <cell r="M121" t="str">
            <v>Ул. Грозненская дом 69/7</v>
          </cell>
          <cell r="N121">
            <v>2670898.3200000003</v>
          </cell>
          <cell r="O121">
            <v>2625383.7800000003</v>
          </cell>
        </row>
        <row r="122">
          <cell r="M122" t="str">
            <v>Ул. Грозненская дом 71/1</v>
          </cell>
          <cell r="N122">
            <v>1205371.3700000001</v>
          </cell>
          <cell r="O122">
            <v>1317462.1599999999</v>
          </cell>
        </row>
        <row r="123">
          <cell r="M123" t="str">
            <v>Ул. Левитана дом 14/4</v>
          </cell>
          <cell r="N123">
            <v>426230.01</v>
          </cell>
          <cell r="O123">
            <v>423994.68</v>
          </cell>
        </row>
        <row r="124">
          <cell r="M124" t="str">
            <v>Ул. Левитана дом 14/5</v>
          </cell>
          <cell r="N124">
            <v>500127.9</v>
          </cell>
          <cell r="O124">
            <v>496654.94</v>
          </cell>
        </row>
        <row r="125">
          <cell r="M125" t="str">
            <v>Ул. Левитана дом 14/6</v>
          </cell>
          <cell r="N125">
            <v>567147.4</v>
          </cell>
          <cell r="O125">
            <v>544809.67000000004</v>
          </cell>
        </row>
        <row r="126">
          <cell r="M126" t="str">
            <v>Ул. Левитана дом 22</v>
          </cell>
          <cell r="N126">
            <v>1552241.64</v>
          </cell>
          <cell r="O126">
            <v>1558314.21</v>
          </cell>
        </row>
        <row r="127">
          <cell r="M127" t="str">
            <v>Ул. Левитана дом 22/1</v>
          </cell>
          <cell r="N127">
            <v>504416.43</v>
          </cell>
          <cell r="O127">
            <v>487536.04</v>
          </cell>
        </row>
        <row r="128">
          <cell r="M128" t="str">
            <v>Ул. Левитана дом 22/2</v>
          </cell>
          <cell r="N128">
            <v>560355.57999999996</v>
          </cell>
          <cell r="O128">
            <v>605295.39999999991</v>
          </cell>
        </row>
        <row r="129">
          <cell r="M129" t="str">
            <v>Ул. Левитана дом 36</v>
          </cell>
          <cell r="N129">
            <v>1403424</v>
          </cell>
          <cell r="O129">
            <v>1405377.2400000002</v>
          </cell>
        </row>
        <row r="130">
          <cell r="M130" t="str">
            <v>Ул. Левитана дом 36/1</v>
          </cell>
          <cell r="N130">
            <v>1206128.6100000001</v>
          </cell>
          <cell r="O130">
            <v>1206694.0900000001</v>
          </cell>
        </row>
        <row r="131">
          <cell r="M131" t="str">
            <v>Ул. Левитана дом 38</v>
          </cell>
          <cell r="N131">
            <v>922365.58000000007</v>
          </cell>
          <cell r="O131">
            <v>925523.16</v>
          </cell>
        </row>
        <row r="132">
          <cell r="M132" t="str">
            <v>Ул. Левитана дом 38/1</v>
          </cell>
          <cell r="N132">
            <v>371986.4</v>
          </cell>
          <cell r="O132">
            <v>353805.37</v>
          </cell>
        </row>
        <row r="133">
          <cell r="M133" t="str">
            <v>Ул. Левитана дом 38/2</v>
          </cell>
          <cell r="N133">
            <v>495642.6</v>
          </cell>
          <cell r="O133">
            <v>475575.98</v>
          </cell>
        </row>
        <row r="134">
          <cell r="M134" t="str">
            <v>Ул. Левитана дом 38/3</v>
          </cell>
          <cell r="N134">
            <v>1957230.3</v>
          </cell>
          <cell r="O134">
            <v>1830604.42</v>
          </cell>
        </row>
        <row r="135">
          <cell r="M135" t="str">
            <v>Ул. Левитана дом 71</v>
          </cell>
          <cell r="N135">
            <v>1073334.92</v>
          </cell>
          <cell r="O135">
            <v>1061735.45</v>
          </cell>
        </row>
        <row r="136">
          <cell r="M136" t="str">
            <v>Ул. Минская дом 58</v>
          </cell>
          <cell r="N136">
            <v>472230.84</v>
          </cell>
          <cell r="O136">
            <v>447677.74</v>
          </cell>
        </row>
        <row r="137">
          <cell r="M137" t="str">
            <v>Ул. Новороссийская дом 2</v>
          </cell>
          <cell r="N137">
            <v>473525.97</v>
          </cell>
          <cell r="O137">
            <v>331276.15000000002</v>
          </cell>
        </row>
        <row r="138">
          <cell r="M138" t="str">
            <v>Ул. Правды дом 25</v>
          </cell>
          <cell r="N138">
            <v>2574233.4700000002</v>
          </cell>
          <cell r="O138">
            <v>2489842.2599999998</v>
          </cell>
        </row>
        <row r="139">
          <cell r="M139" t="str">
            <v>Ул. Правды дом 25/1</v>
          </cell>
          <cell r="N139">
            <v>302068.2</v>
          </cell>
          <cell r="O139">
            <v>305493.65000000002</v>
          </cell>
        </row>
        <row r="140">
          <cell r="M140" t="str">
            <v>Ул. Правды дом 25/2</v>
          </cell>
          <cell r="N140">
            <v>1133366.3999999999</v>
          </cell>
          <cell r="O140">
            <v>1141893.7</v>
          </cell>
        </row>
        <row r="141">
          <cell r="M141" t="str">
            <v>Ул. Правды дом 31/1</v>
          </cell>
          <cell r="N141">
            <v>738525.77</v>
          </cell>
          <cell r="O141">
            <v>714407.35000000009</v>
          </cell>
        </row>
        <row r="142">
          <cell r="M142" t="str">
            <v>Ул. Правды дом 37/1</v>
          </cell>
          <cell r="N142">
            <v>2074707.24</v>
          </cell>
          <cell r="O142">
            <v>2021705.9100000001</v>
          </cell>
        </row>
        <row r="143">
          <cell r="M143" t="str">
            <v>Ул. Дагестанская дом 5</v>
          </cell>
          <cell r="N143">
            <v>227854.36</v>
          </cell>
          <cell r="O143">
            <v>205097.16</v>
          </cell>
        </row>
        <row r="144">
          <cell r="M144" t="str">
            <v>Ул. Левитана дом 3</v>
          </cell>
          <cell r="N144">
            <v>306624.02</v>
          </cell>
          <cell r="O144">
            <v>352130.96</v>
          </cell>
        </row>
        <row r="145">
          <cell r="M145" t="str">
            <v>Ул. Левитана дом 5</v>
          </cell>
          <cell r="N145">
            <v>341288.04</v>
          </cell>
          <cell r="O145">
            <v>353582.95</v>
          </cell>
        </row>
        <row r="146">
          <cell r="M146" t="str">
            <v>Ул. Левитана дом 7/А</v>
          </cell>
          <cell r="N146">
            <v>111616.24</v>
          </cell>
          <cell r="O146">
            <v>111856.21</v>
          </cell>
        </row>
        <row r="147">
          <cell r="M147" t="str">
            <v>Ул. Левитана дом 9</v>
          </cell>
          <cell r="N147">
            <v>187267.44</v>
          </cell>
          <cell r="O147">
            <v>167987.69</v>
          </cell>
        </row>
        <row r="148">
          <cell r="M148" t="str">
            <v>Ул. Левитана дом 9/А</v>
          </cell>
          <cell r="N148">
            <v>108086.04</v>
          </cell>
          <cell r="O148">
            <v>107482.34</v>
          </cell>
        </row>
        <row r="149">
          <cell r="M149" t="str">
            <v>Ул. Левитана дом 13</v>
          </cell>
          <cell r="N149">
            <v>266255</v>
          </cell>
          <cell r="O149">
            <v>230381.87</v>
          </cell>
        </row>
        <row r="150">
          <cell r="M150" t="str">
            <v>Ул. Левитана дом 15</v>
          </cell>
          <cell r="N150">
            <v>147859.74</v>
          </cell>
          <cell r="O150">
            <v>110320.71</v>
          </cell>
        </row>
        <row r="151">
          <cell r="M151" t="str">
            <v>Ул. Левитана дом 17</v>
          </cell>
          <cell r="N151">
            <v>141354.23999999999</v>
          </cell>
          <cell r="O151">
            <v>150163.89000000001</v>
          </cell>
        </row>
        <row r="152">
          <cell r="M152" t="str">
            <v>Ул. Левитана дом 19</v>
          </cell>
          <cell r="N152">
            <v>141864.78</v>
          </cell>
          <cell r="O152">
            <v>127054.29</v>
          </cell>
        </row>
        <row r="153">
          <cell r="M153" t="str">
            <v>Ул. Левитана дом 21</v>
          </cell>
          <cell r="N153">
            <v>112670.3</v>
          </cell>
          <cell r="O153">
            <v>103201.69</v>
          </cell>
        </row>
        <row r="154">
          <cell r="M154" t="str">
            <v>Ул. Левитана дом 23</v>
          </cell>
          <cell r="N154">
            <v>115094.64</v>
          </cell>
          <cell r="O154">
            <v>99979.54</v>
          </cell>
        </row>
        <row r="155">
          <cell r="M155" t="str">
            <v>Ул. Локомотивная дом 2</v>
          </cell>
          <cell r="N155">
            <v>20589.919999999998</v>
          </cell>
          <cell r="O155">
            <v>21721.59</v>
          </cell>
        </row>
        <row r="156">
          <cell r="M156" t="str">
            <v>Ул. Локомотивная дом 4</v>
          </cell>
          <cell r="N156">
            <v>21589.5</v>
          </cell>
          <cell r="O156">
            <v>21444.75</v>
          </cell>
        </row>
        <row r="157">
          <cell r="M157" t="str">
            <v>Ул. Локомотивная дом 6</v>
          </cell>
          <cell r="N157">
            <v>41221.58</v>
          </cell>
          <cell r="O157">
            <v>38277</v>
          </cell>
        </row>
        <row r="158">
          <cell r="M158" t="str">
            <v>Ул. Локомотивная дом 26</v>
          </cell>
          <cell r="N158">
            <v>29171.88</v>
          </cell>
          <cell r="O158">
            <v>27163.73</v>
          </cell>
        </row>
        <row r="159">
          <cell r="M159" t="str">
            <v>Ул. Мусы Джалиля дом 4</v>
          </cell>
          <cell r="N159">
            <v>86524.38</v>
          </cell>
          <cell r="O159">
            <v>75766.509999999995</v>
          </cell>
        </row>
        <row r="160">
          <cell r="M160" t="str">
            <v>Ул. Мусы Джалиля дом 6</v>
          </cell>
          <cell r="N160">
            <v>158967.07999999999</v>
          </cell>
          <cell r="O160">
            <v>117691.53</v>
          </cell>
        </row>
        <row r="161">
          <cell r="M161" t="str">
            <v>Ул. Мусы Джалиля дом 8</v>
          </cell>
          <cell r="N161">
            <v>78555.28</v>
          </cell>
          <cell r="O161">
            <v>70744.25</v>
          </cell>
        </row>
        <row r="162">
          <cell r="M162" t="str">
            <v>Ул. Мусы Джалиля дом 10</v>
          </cell>
          <cell r="N162">
            <v>210753.94</v>
          </cell>
          <cell r="O162">
            <v>245554.35</v>
          </cell>
        </row>
        <row r="163">
          <cell r="M163" t="str">
            <v>Ул. Правды дом 12</v>
          </cell>
          <cell r="N163">
            <v>283695.93</v>
          </cell>
          <cell r="O163">
            <v>234173.4</v>
          </cell>
        </row>
        <row r="164">
          <cell r="M164" t="str">
            <v>Ул. Рядовая дом 2</v>
          </cell>
          <cell r="N164">
            <v>113325.62</v>
          </cell>
          <cell r="O164">
            <v>100139.49</v>
          </cell>
        </row>
        <row r="165">
          <cell r="M165" t="str">
            <v>Ул. Рядовая дом 3</v>
          </cell>
          <cell r="N165">
            <v>97473.72</v>
          </cell>
          <cell r="O165">
            <v>81617.17</v>
          </cell>
        </row>
        <row r="166">
          <cell r="M166" t="str">
            <v>Ул. Рядовая дом 3/1</v>
          </cell>
          <cell r="N166">
            <v>152158.20000000001</v>
          </cell>
          <cell r="O166">
            <v>144483.66</v>
          </cell>
        </row>
        <row r="167">
          <cell r="M167" t="str">
            <v>Ул. Рядовая дом 5</v>
          </cell>
          <cell r="N167">
            <v>108444.48</v>
          </cell>
          <cell r="O167">
            <v>110502.28</v>
          </cell>
        </row>
        <row r="168">
          <cell r="M168" t="str">
            <v>Ул. Рядовая дом 5/1</v>
          </cell>
          <cell r="N168">
            <v>173949.26</v>
          </cell>
          <cell r="O168">
            <v>171151.2</v>
          </cell>
        </row>
        <row r="169">
          <cell r="M169" t="str">
            <v>Ул. Рядовая дом 7</v>
          </cell>
          <cell r="N169">
            <v>127019.3</v>
          </cell>
          <cell r="O169">
            <v>137595.59</v>
          </cell>
        </row>
        <row r="170">
          <cell r="M170" t="str">
            <v>Ул. Рядовая дом 7/1</v>
          </cell>
          <cell r="N170">
            <v>184660.72</v>
          </cell>
          <cell r="O170">
            <v>176066.31</v>
          </cell>
        </row>
        <row r="171">
          <cell r="M171" t="str">
            <v>Ул. Таллинская дом 2/1</v>
          </cell>
          <cell r="N171">
            <v>147240.29999999999</v>
          </cell>
          <cell r="O171">
            <v>136823.72</v>
          </cell>
        </row>
        <row r="172">
          <cell r="M172" t="str">
            <v>Ул. Таллинская дом 3/1</v>
          </cell>
          <cell r="N172">
            <v>241326.3</v>
          </cell>
          <cell r="O172">
            <v>229810.75</v>
          </cell>
        </row>
        <row r="173">
          <cell r="M173" t="str">
            <v>Ул. Таллинская дом 3/А</v>
          </cell>
          <cell r="N173">
            <v>89219.56</v>
          </cell>
          <cell r="O173">
            <v>76790.39</v>
          </cell>
        </row>
        <row r="174">
          <cell r="M174" t="str">
            <v>Ул. Таллинская дом 3/Б</v>
          </cell>
          <cell r="N174">
            <v>83974.840000000011</v>
          </cell>
          <cell r="O174">
            <v>84443.97</v>
          </cell>
        </row>
        <row r="177">
          <cell r="M177" t="str">
            <v>Ул. Таллинская дом 16</v>
          </cell>
          <cell r="N177">
            <v>150042.9</v>
          </cell>
          <cell r="O177">
            <v>143697.57999999999</v>
          </cell>
        </row>
        <row r="178">
          <cell r="M178" t="str">
            <v>Ул. Таллинская дом 18</v>
          </cell>
          <cell r="N178">
            <v>189666.11</v>
          </cell>
          <cell r="O178">
            <v>124826.89</v>
          </cell>
        </row>
        <row r="179">
          <cell r="M179" t="str">
            <v>Ул. Таллинская дом 20</v>
          </cell>
          <cell r="N179">
            <v>160228.14000000001</v>
          </cell>
          <cell r="O179">
            <v>147378.5</v>
          </cell>
        </row>
        <row r="180">
          <cell r="M180" t="str">
            <v>Ул. Таллинская дом 22</v>
          </cell>
          <cell r="N180">
            <v>127541.54</v>
          </cell>
          <cell r="O180">
            <v>120211.51</v>
          </cell>
        </row>
        <row r="181">
          <cell r="M181" t="str">
            <v>Ул. Таллинская дом 24</v>
          </cell>
          <cell r="N181">
            <v>163386.29999999999</v>
          </cell>
          <cell r="O181">
            <v>158069.6</v>
          </cell>
        </row>
        <row r="182">
          <cell r="M182" t="str">
            <v>Ул. Таллинская дом 26</v>
          </cell>
          <cell r="N182">
            <v>156776.11000000002</v>
          </cell>
          <cell r="O182">
            <v>149165.91</v>
          </cell>
        </row>
        <row r="183">
          <cell r="M183" t="str">
            <v>Ул. Таллинская дом 28</v>
          </cell>
          <cell r="N183">
            <v>150335.26</v>
          </cell>
          <cell r="O183">
            <v>153293.95000000001</v>
          </cell>
        </row>
        <row r="184">
          <cell r="M184" t="str">
            <v>Ул. Ухтомского дом 5</v>
          </cell>
          <cell r="N184">
            <v>135778.9</v>
          </cell>
          <cell r="O184">
            <v>124813.65</v>
          </cell>
        </row>
        <row r="185">
          <cell r="M185" t="str">
            <v>Ул. Центральная дом 2</v>
          </cell>
          <cell r="N185">
            <v>246504.24</v>
          </cell>
          <cell r="O185">
            <v>267464.01</v>
          </cell>
        </row>
        <row r="186">
          <cell r="M186" t="str">
            <v>Ул. Центральная дом 4</v>
          </cell>
          <cell r="N186">
            <v>195499.22</v>
          </cell>
          <cell r="O186">
            <v>201620.15</v>
          </cell>
        </row>
        <row r="187">
          <cell r="M187" t="str">
            <v>Ул. Центральная дом 4/А</v>
          </cell>
          <cell r="N187">
            <v>98585.12</v>
          </cell>
          <cell r="O187">
            <v>131106.29999999999</v>
          </cell>
        </row>
        <row r="188">
          <cell r="M188" t="str">
            <v>Ул. Центральная дом 6</v>
          </cell>
          <cell r="N188">
            <v>195450.9</v>
          </cell>
          <cell r="O188">
            <v>192226.57</v>
          </cell>
        </row>
        <row r="189">
          <cell r="M189" t="str">
            <v>Ул. Центральная дом 8</v>
          </cell>
          <cell r="N189">
            <v>306215.36</v>
          </cell>
          <cell r="O189">
            <v>254543.1</v>
          </cell>
        </row>
        <row r="190">
          <cell r="M190" t="str">
            <v>Ул. Центральная дом 10</v>
          </cell>
          <cell r="N190">
            <v>172680.1</v>
          </cell>
          <cell r="O190">
            <v>224462.13</v>
          </cell>
        </row>
        <row r="191">
          <cell r="M191" t="str">
            <v>Ул. Центральная дом 12</v>
          </cell>
          <cell r="N191">
            <v>164084.56</v>
          </cell>
          <cell r="O191">
            <v>124393.96</v>
          </cell>
        </row>
        <row r="192">
          <cell r="M192" t="str">
            <v>Ул. Центральная дом 12/А</v>
          </cell>
          <cell r="N192">
            <v>112400.3</v>
          </cell>
          <cell r="O192">
            <v>112473.78</v>
          </cell>
        </row>
        <row r="193">
          <cell r="M193" t="str">
            <v>Ул. Центральная дом 14</v>
          </cell>
          <cell r="N193">
            <v>267410.74</v>
          </cell>
          <cell r="O193">
            <v>270900.67</v>
          </cell>
        </row>
        <row r="194">
          <cell r="M194" t="str">
            <v>Ул. Центральная дом 14/А</v>
          </cell>
          <cell r="N194">
            <v>177081.58</v>
          </cell>
          <cell r="O194">
            <v>161568.76</v>
          </cell>
        </row>
        <row r="195">
          <cell r="M195" t="str">
            <v>Ул. Центральная дом 16</v>
          </cell>
          <cell r="N195">
            <v>261118.96</v>
          </cell>
          <cell r="O195">
            <v>262938.65999999997</v>
          </cell>
        </row>
        <row r="196">
          <cell r="M196" t="str">
            <v>Ул. Центральная дом 22</v>
          </cell>
          <cell r="N196">
            <v>98962.74</v>
          </cell>
          <cell r="O196">
            <v>94577.04</v>
          </cell>
        </row>
        <row r="197">
          <cell r="M197" t="str">
            <v>Ул. Центральная дом 22/А</v>
          </cell>
          <cell r="N197">
            <v>124622.32</v>
          </cell>
          <cell r="O197">
            <v>121445.95</v>
          </cell>
        </row>
        <row r="198">
          <cell r="M198" t="str">
            <v>Ул. Центральная дом 28</v>
          </cell>
          <cell r="N198">
            <v>166085.26999999999</v>
          </cell>
          <cell r="O198">
            <v>158163.98000000001</v>
          </cell>
        </row>
        <row r="199">
          <cell r="M199" t="str">
            <v>Ул. Центральная дом 30</v>
          </cell>
          <cell r="N199">
            <v>221686.42</v>
          </cell>
          <cell r="O199">
            <v>176957.22</v>
          </cell>
        </row>
        <row r="200">
          <cell r="M200" t="str">
            <v>Ул. Центральная дом 34</v>
          </cell>
          <cell r="N200">
            <v>107201.62</v>
          </cell>
          <cell r="O200">
            <v>106289.08</v>
          </cell>
        </row>
        <row r="201">
          <cell r="M201" t="str">
            <v>Ул. Альшеевская дом 10</v>
          </cell>
          <cell r="N201">
            <v>155563.79999999999</v>
          </cell>
          <cell r="O201">
            <v>157807.6</v>
          </cell>
        </row>
        <row r="202">
          <cell r="M202" t="str">
            <v>Ул. Альшеевская дом 12</v>
          </cell>
          <cell r="N202">
            <v>95104.9</v>
          </cell>
          <cell r="O202">
            <v>79715.37</v>
          </cell>
        </row>
        <row r="203">
          <cell r="M203" t="str">
            <v>Ул. Альшеевская дом 12/А</v>
          </cell>
          <cell r="N203">
            <v>33777.040000000001</v>
          </cell>
          <cell r="O203">
            <v>33447.56</v>
          </cell>
        </row>
        <row r="204">
          <cell r="M204" t="str">
            <v>Ул. Альшеевская дом 14</v>
          </cell>
          <cell r="N204">
            <v>82068.600000000006</v>
          </cell>
          <cell r="O204">
            <v>72140.23</v>
          </cell>
        </row>
        <row r="205">
          <cell r="M205" t="str">
            <v>Ул. Альшеевская дом 14/А</v>
          </cell>
          <cell r="N205">
            <v>29547.86</v>
          </cell>
          <cell r="O205">
            <v>28491.21</v>
          </cell>
        </row>
        <row r="206">
          <cell r="M206" t="str">
            <v>Ул. Альшеевская дом 15</v>
          </cell>
          <cell r="N206">
            <v>41943.96</v>
          </cell>
          <cell r="O206">
            <v>43493.14</v>
          </cell>
        </row>
        <row r="207">
          <cell r="M207" t="str">
            <v>Ул. Альшеевская дом 20/А</v>
          </cell>
          <cell r="N207">
            <v>30456.78</v>
          </cell>
          <cell r="O207">
            <v>28277.53</v>
          </cell>
        </row>
        <row r="208">
          <cell r="M208" t="str">
            <v>Ул. Альшеевская дом 32/A</v>
          </cell>
          <cell r="N208">
            <v>25614.54</v>
          </cell>
          <cell r="O208">
            <v>24533.72</v>
          </cell>
        </row>
        <row r="209">
          <cell r="M209" t="str">
            <v>Ул. Аургазинская дом 8</v>
          </cell>
          <cell r="N209">
            <v>60270.78</v>
          </cell>
          <cell r="O209">
            <v>51193.1</v>
          </cell>
        </row>
        <row r="210">
          <cell r="M210" t="str">
            <v>Ул. Левитана дом 8</v>
          </cell>
          <cell r="N210">
            <v>230087.48</v>
          </cell>
          <cell r="O210">
            <v>256659.59</v>
          </cell>
        </row>
        <row r="211">
          <cell r="M211" t="str">
            <v>Ул. Магистральная дом 7</v>
          </cell>
          <cell r="N211">
            <v>97842.26</v>
          </cell>
          <cell r="O211">
            <v>86511.05</v>
          </cell>
        </row>
        <row r="212">
          <cell r="M212" t="str">
            <v>Ул. Магистральная дом 7/A</v>
          </cell>
          <cell r="N212">
            <v>21836.16</v>
          </cell>
          <cell r="O212">
            <v>23367.45</v>
          </cell>
        </row>
        <row r="213">
          <cell r="M213" t="str">
            <v>Ул. Магистральная дом 9</v>
          </cell>
          <cell r="N213">
            <v>77250.460000000006</v>
          </cell>
          <cell r="O213">
            <v>41175.24</v>
          </cell>
        </row>
        <row r="214">
          <cell r="M214" t="str">
            <v>Ул. Магистральная дом 9/A</v>
          </cell>
          <cell r="N214">
            <v>50450.22</v>
          </cell>
          <cell r="O214">
            <v>77825.64</v>
          </cell>
        </row>
        <row r="215">
          <cell r="M215" t="str">
            <v>Ул. Магистральная дом 11</v>
          </cell>
          <cell r="N215">
            <v>10193.17</v>
          </cell>
          <cell r="O215">
            <v>0</v>
          </cell>
        </row>
        <row r="216">
          <cell r="M216" t="str">
            <v>Ул. Магистральная дом 11/A</v>
          </cell>
          <cell r="N216">
            <v>5446.9500000000007</v>
          </cell>
          <cell r="O216">
            <v>52062.27</v>
          </cell>
        </row>
        <row r="217">
          <cell r="M217" t="str">
            <v>Ул. Магистральная дом 12/1</v>
          </cell>
          <cell r="N217">
            <v>75227.039999999994</v>
          </cell>
          <cell r="O217">
            <v>61106.15</v>
          </cell>
        </row>
        <row r="218">
          <cell r="M218" t="str">
            <v>Ул. Магистральная дом 17</v>
          </cell>
          <cell r="N218">
            <v>37215.32</v>
          </cell>
          <cell r="O218">
            <v>37843.32</v>
          </cell>
        </row>
        <row r="219">
          <cell r="M219" t="str">
            <v>Ул. Магистральная дом 36</v>
          </cell>
          <cell r="N219">
            <v>83139.02</v>
          </cell>
          <cell r="O219">
            <v>83884.600000000006</v>
          </cell>
        </row>
        <row r="220">
          <cell r="M220" t="str">
            <v>Ул. Туринская дом 2А</v>
          </cell>
          <cell r="N220">
            <v>37227.310000000005</v>
          </cell>
          <cell r="O220">
            <v>19688.97</v>
          </cell>
        </row>
        <row r="221">
          <cell r="M221" t="str">
            <v>Ул. Туринская дом 2Б</v>
          </cell>
          <cell r="N221">
            <v>60787.21</v>
          </cell>
          <cell r="O221">
            <v>55075</v>
          </cell>
        </row>
        <row r="222">
          <cell r="M222" t="str">
            <v>Ул. Ухтомского дом 21</v>
          </cell>
          <cell r="N222">
            <v>101856.16</v>
          </cell>
          <cell r="O222">
            <v>91209.29</v>
          </cell>
        </row>
        <row r="223">
          <cell r="M223" t="str">
            <v>Ул. Ухтомского дом 23</v>
          </cell>
          <cell r="N223">
            <v>97309.66</v>
          </cell>
          <cell r="O223">
            <v>79717.52</v>
          </cell>
        </row>
        <row r="224">
          <cell r="M224" t="str">
            <v>Ул. Юматовская дом 2/Б</v>
          </cell>
          <cell r="N224">
            <v>116893.45999999999</v>
          </cell>
          <cell r="O224">
            <v>118991.11</v>
          </cell>
        </row>
        <row r="226">
          <cell r="M226" t="str">
            <v>Ул. Левитана дом 37</v>
          </cell>
          <cell r="N226">
            <v>140405.92000000001</v>
          </cell>
          <cell r="O226">
            <v>128492.61</v>
          </cell>
        </row>
        <row r="227">
          <cell r="M227" t="str">
            <v>Ул. Левитана дом 39</v>
          </cell>
          <cell r="N227">
            <v>66619.839999999997</v>
          </cell>
          <cell r="O227">
            <v>76538.960000000006</v>
          </cell>
        </row>
        <row r="228">
          <cell r="M228" t="str">
            <v>Ул. Левитана дом 39/А</v>
          </cell>
          <cell r="N228">
            <v>87675.02</v>
          </cell>
          <cell r="O228">
            <v>114896.07</v>
          </cell>
        </row>
        <row r="229">
          <cell r="M229" t="str">
            <v>Ул. Левитана дом 41</v>
          </cell>
          <cell r="N229">
            <v>107015.84</v>
          </cell>
          <cell r="O229">
            <v>168007.1</v>
          </cell>
        </row>
        <row r="230">
          <cell r="M230" t="str">
            <v>Ул. Левитана дом 41/А</v>
          </cell>
          <cell r="N230">
            <v>117559.98</v>
          </cell>
          <cell r="O230">
            <v>98015.33</v>
          </cell>
        </row>
        <row r="231">
          <cell r="M231" t="str">
            <v>Ул. Левитана дом 41/Б</v>
          </cell>
          <cell r="N231">
            <v>98245.92</v>
          </cell>
          <cell r="O231">
            <v>85225.24</v>
          </cell>
        </row>
        <row r="232">
          <cell r="M232" t="str">
            <v>Ул. Левитана дом 43</v>
          </cell>
          <cell r="N232">
            <v>105049.78</v>
          </cell>
          <cell r="O232">
            <v>85777.54</v>
          </cell>
        </row>
        <row r="233">
          <cell r="M233" t="str">
            <v>Ул. Левитана дом 43/А</v>
          </cell>
          <cell r="N233">
            <v>107293.86</v>
          </cell>
          <cell r="O233">
            <v>100158.94</v>
          </cell>
        </row>
        <row r="234">
          <cell r="M234" t="str">
            <v>Ул. Мусы Джалиля дом 5</v>
          </cell>
          <cell r="N234">
            <v>156655.34</v>
          </cell>
          <cell r="O234">
            <v>167627.35</v>
          </cell>
        </row>
        <row r="235">
          <cell r="M235" t="str">
            <v>Ул. Новороссийская дом 4</v>
          </cell>
          <cell r="N235">
            <v>69436.98</v>
          </cell>
          <cell r="O235">
            <v>65793.919999999998</v>
          </cell>
        </row>
        <row r="236">
          <cell r="M236" t="str">
            <v>Ул. Новороссийская дом 6</v>
          </cell>
          <cell r="N236">
            <v>77210.62</v>
          </cell>
          <cell r="O236">
            <v>72407.53</v>
          </cell>
        </row>
        <row r="237">
          <cell r="M237" t="str">
            <v>Ул. Новороссийская дом 8</v>
          </cell>
          <cell r="N237">
            <v>98823.46</v>
          </cell>
          <cell r="O237">
            <v>104679.37</v>
          </cell>
        </row>
        <row r="238">
          <cell r="M238" t="str">
            <v>Ул. Новороссийская дом 10</v>
          </cell>
          <cell r="N238">
            <v>98125.22</v>
          </cell>
          <cell r="O238">
            <v>92458.15</v>
          </cell>
        </row>
        <row r="239">
          <cell r="M239" t="str">
            <v>Ул. Рядовая дом 9</v>
          </cell>
          <cell r="N239">
            <v>106993.66</v>
          </cell>
          <cell r="O239">
            <v>88325.5</v>
          </cell>
        </row>
        <row r="240">
          <cell r="M240" t="str">
            <v>Ул. Рядовая дом 10</v>
          </cell>
          <cell r="N240">
            <v>94079.64</v>
          </cell>
          <cell r="O240">
            <v>95763.75</v>
          </cell>
        </row>
        <row r="241">
          <cell r="M241" t="str">
            <v>Ул. Рядовая дом 11</v>
          </cell>
          <cell r="N241">
            <v>108381.18</v>
          </cell>
          <cell r="O241">
            <v>102972.16</v>
          </cell>
        </row>
        <row r="242">
          <cell r="M242" t="str">
            <v>Ул. Рядовая дом 12</v>
          </cell>
          <cell r="N242">
            <v>108485.66</v>
          </cell>
          <cell r="O242">
            <v>93167.78</v>
          </cell>
        </row>
        <row r="243">
          <cell r="M243" t="str">
            <v>Ул. Рядовая дом 13</v>
          </cell>
          <cell r="N243">
            <v>134313.66</v>
          </cell>
          <cell r="O243">
            <v>105321.4</v>
          </cell>
        </row>
        <row r="244">
          <cell r="M244" t="str">
            <v>Ул. Рядовая дом 15</v>
          </cell>
          <cell r="N244">
            <v>142760.44</v>
          </cell>
          <cell r="O244">
            <v>160284.21</v>
          </cell>
        </row>
        <row r="245">
          <cell r="M245" t="str">
            <v>Ул. Центральная дом 31/1</v>
          </cell>
          <cell r="N245">
            <v>35332.300000000003</v>
          </cell>
          <cell r="O245">
            <v>34214.589999999997</v>
          </cell>
        </row>
        <row r="246">
          <cell r="M246" t="str">
            <v>Ул. Центральная дом 38</v>
          </cell>
          <cell r="N246">
            <v>128842.28</v>
          </cell>
          <cell r="O246">
            <v>117440.49</v>
          </cell>
        </row>
        <row r="247">
          <cell r="M247" t="str">
            <v>Ул. Центральная дом 40</v>
          </cell>
          <cell r="N247">
            <v>123116.49</v>
          </cell>
          <cell r="O247">
            <v>116790.53</v>
          </cell>
        </row>
        <row r="248">
          <cell r="M248" t="str">
            <v>Ул. Центральная дом 42</v>
          </cell>
          <cell r="N248">
            <v>104669.58</v>
          </cell>
          <cell r="O248">
            <v>93129.05</v>
          </cell>
        </row>
        <row r="249">
          <cell r="M249" t="str">
            <v>Ул. Центральная дом 44</v>
          </cell>
          <cell r="N249">
            <v>122925.96</v>
          </cell>
          <cell r="O249">
            <v>113287.8</v>
          </cell>
        </row>
        <row r="250">
          <cell r="M250" t="str">
            <v>Ул. Центральная дом 51</v>
          </cell>
          <cell r="N250">
            <v>173187.62</v>
          </cell>
          <cell r="O250">
            <v>195026.83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Лист1"/>
      <sheetName val="Юмат.2б"/>
      <sheetName val="Ухт.30-2"/>
      <sheetName val="Ухт.30"/>
      <sheetName val="Ухт.28"/>
      <sheetName val="Ухт.26-2"/>
      <sheetName val="Ухт.26"/>
      <sheetName val="Ухт.24"/>
      <sheetName val="Ухт.23"/>
      <sheetName val="Ухт.22"/>
      <sheetName val="Ухт.21"/>
      <sheetName val="Ухт.20"/>
      <sheetName val="Ухт.16"/>
      <sheetName val="-Ухт.14"/>
      <sheetName val="Ухт.12"/>
      <sheetName val="Ухт 11"/>
      <sheetName val="Ухт.10 ужх"/>
      <sheetName val="Ухт.10 ук"/>
      <sheetName val="Тур.2б"/>
      <sheetName val="Тур.2а"/>
      <sheetName val="Пр 23"/>
      <sheetName val="Пр 21"/>
      <sheetName val="Остр.18-1"/>
      <sheetName val="-Остр.18"/>
      <sheetName val="Остр.16-1"/>
      <sheetName val="М.Дж. 74-3"/>
      <sheetName val="-М.Дж. 74-2"/>
      <sheetName val="М.Дж. 74-1"/>
      <sheetName val="М.Дж. 74"/>
      <sheetName val="М.Дж. 72-1"/>
      <sheetName val="М.Дж. 68-1"/>
      <sheetName val="М.Дж. 68"/>
      <sheetName val="М.Дж. 66"/>
      <sheetName val="М.Дж. 64"/>
      <sheetName val="Маг.36"/>
      <sheetName val="-Маг.27-2"/>
      <sheetName val="-Маг.27-1"/>
      <sheetName val="Маг.27"/>
      <sheetName val="Маг.20-1"/>
      <sheetName val="Маг.17"/>
      <sheetName val="Маг.12-1"/>
      <sheetName val="-Маг.12"/>
      <sheetName val="Маг.11 а"/>
      <sheetName val="Маг.11"/>
      <sheetName val="Маг.9 а"/>
      <sheetName val="Маг.9"/>
      <sheetName val="Маг.7а"/>
      <sheetName val="Маг.7"/>
      <sheetName val="Лев 8"/>
      <sheetName val="Аург.8"/>
      <sheetName val="Альш.32а"/>
      <sheetName val="Альш.20а "/>
      <sheetName val="Альш.15"/>
      <sheetName val="Альш.14а "/>
      <sheetName val="Альш.14"/>
      <sheetName val="Альш.12а"/>
      <sheetName val="Альш.12"/>
      <sheetName val="Альш.10"/>
      <sheetName val="Цен 1"/>
      <sheetName val="Цен 3"/>
    </sheetNames>
    <sheetDataSet>
      <sheetData sheetId="0">
        <row r="1">
          <cell r="M1" t="str">
            <v xml:space="preserve">Не трогать! Идет в отчет </v>
          </cell>
          <cell r="N1">
            <v>132871710.76000001</v>
          </cell>
          <cell r="O1">
            <v>131277874.77999997</v>
          </cell>
          <cell r="T1" t="str">
            <v>коэффициент</v>
          </cell>
        </row>
        <row r="2">
          <cell r="M2" t="str">
            <v>С ЕРКЦ</v>
          </cell>
          <cell r="N2" t="str">
            <v>Постоянные начисления-разовые</v>
          </cell>
          <cell r="O2" t="str">
            <v>Оплата</v>
          </cell>
          <cell r="S2" t="str">
            <v xml:space="preserve"> - услуги объединенной диспетчерской службы (ОДС)</v>
          </cell>
          <cell r="T2">
            <v>4.6249048341643242</v>
          </cell>
        </row>
        <row r="3">
          <cell r="M3" t="str">
            <v>Ул. Дагестанская дом 11/1</v>
          </cell>
          <cell r="N3">
            <v>1522487.7999999998</v>
          </cell>
          <cell r="O3">
            <v>1442812.6</v>
          </cell>
          <cell r="S3" t="str">
            <v xml:space="preserve"> - услуги аварийной  службы (АДС)</v>
          </cell>
          <cell r="T3">
            <v>16.144712120762971</v>
          </cell>
        </row>
        <row r="4">
          <cell r="M4" t="str">
            <v>Ул. Дагестанская дом 13/1</v>
          </cell>
          <cell r="N4">
            <v>1664667.45</v>
          </cell>
          <cell r="O4">
            <v>1662682.27</v>
          </cell>
        </row>
        <row r="5">
          <cell r="M5" t="str">
            <v>Ул. Дагестанская дом 13/2</v>
          </cell>
          <cell r="N5">
            <v>871034.78</v>
          </cell>
          <cell r="O5">
            <v>882990.17</v>
          </cell>
          <cell r="T5" t="str">
            <v>*умнож. На S</v>
          </cell>
        </row>
        <row r="6">
          <cell r="M6" t="str">
            <v>Ул. Дагестанская дом 15</v>
          </cell>
          <cell r="N6">
            <v>779395.08000000007</v>
          </cell>
          <cell r="O6">
            <v>747439.42999999993</v>
          </cell>
        </row>
        <row r="7">
          <cell r="M7" t="str">
            <v>Ул. Дагестанская дом 16</v>
          </cell>
          <cell r="N7">
            <v>1368014.3199999998</v>
          </cell>
          <cell r="O7">
            <v>1313270.1599999999</v>
          </cell>
        </row>
        <row r="8">
          <cell r="M8" t="str">
            <v>Ул. Дагестанская дом 17</v>
          </cell>
          <cell r="N8">
            <v>446208.48</v>
          </cell>
          <cell r="O8">
            <v>437668.09</v>
          </cell>
        </row>
        <row r="9">
          <cell r="M9" t="str">
            <v>Ул. Дагестанская дом 19</v>
          </cell>
          <cell r="N9">
            <v>726887.46</v>
          </cell>
          <cell r="O9">
            <v>718893.08</v>
          </cell>
        </row>
        <row r="10">
          <cell r="M10" t="str">
            <v>Ул. Дагестанская дом 27</v>
          </cell>
          <cell r="N10">
            <v>1309989.5999999999</v>
          </cell>
          <cell r="O10">
            <v>1265585.44</v>
          </cell>
        </row>
        <row r="11">
          <cell r="M11" t="str">
            <v>Ул. Магистральная дом 6</v>
          </cell>
          <cell r="N11">
            <v>1904705.5999999999</v>
          </cell>
          <cell r="O11">
            <v>1876237.36</v>
          </cell>
        </row>
        <row r="12">
          <cell r="M12" t="str">
            <v>Ул. Мусоргского дом 7</v>
          </cell>
          <cell r="N12">
            <v>454862.33999999997</v>
          </cell>
          <cell r="O12">
            <v>435569.64</v>
          </cell>
        </row>
        <row r="13">
          <cell r="M13" t="str">
            <v>Ул. Мусоргского дом 9</v>
          </cell>
          <cell r="N13">
            <v>629096.15999999992</v>
          </cell>
          <cell r="O13">
            <v>602965.66999999993</v>
          </cell>
        </row>
        <row r="14">
          <cell r="M14" t="str">
            <v>Ул. Мусоргского дом 9/А</v>
          </cell>
          <cell r="N14">
            <v>536036.6</v>
          </cell>
          <cell r="O14">
            <v>506731.56</v>
          </cell>
        </row>
        <row r="15">
          <cell r="M15" t="str">
            <v>Ул. Мусоргского дом 11</v>
          </cell>
          <cell r="N15">
            <v>697741.32</v>
          </cell>
          <cell r="O15">
            <v>669265.25</v>
          </cell>
        </row>
        <row r="16">
          <cell r="M16" t="str">
            <v>Ул. Мусоргского дом 13</v>
          </cell>
          <cell r="N16">
            <v>590086.80000000005</v>
          </cell>
          <cell r="O16">
            <v>582908.30000000005</v>
          </cell>
        </row>
        <row r="17">
          <cell r="M17" t="str">
            <v>Ул. Мусоргского дом 13а</v>
          </cell>
          <cell r="N17">
            <v>703759.04</v>
          </cell>
          <cell r="O17">
            <v>688061.30999999994</v>
          </cell>
        </row>
        <row r="18">
          <cell r="M18" t="str">
            <v>Ул. Мусоргского дом 15</v>
          </cell>
          <cell r="N18">
            <v>554462.38</v>
          </cell>
          <cell r="O18">
            <v>484935.08</v>
          </cell>
        </row>
        <row r="19">
          <cell r="M19" t="str">
            <v>Ул. Мусоргского дом 15/А</v>
          </cell>
          <cell r="N19">
            <v>525988.76</v>
          </cell>
          <cell r="O19">
            <v>479907.32999999996</v>
          </cell>
        </row>
        <row r="20">
          <cell r="M20" t="str">
            <v>Ул. Мусоргского дом 17</v>
          </cell>
          <cell r="N20">
            <v>667524.88</v>
          </cell>
          <cell r="O20">
            <v>724217.25</v>
          </cell>
        </row>
        <row r="21">
          <cell r="M21" t="str">
            <v>Ул. Мусоргского дом 19/1</v>
          </cell>
          <cell r="N21">
            <v>806722.26</v>
          </cell>
          <cell r="O21">
            <v>782243.8600000001</v>
          </cell>
        </row>
        <row r="22">
          <cell r="M22" t="str">
            <v>Ул. Мусоргского дом 19/А</v>
          </cell>
          <cell r="N22">
            <v>539293.31999999995</v>
          </cell>
          <cell r="O22">
            <v>539213.04999999993</v>
          </cell>
        </row>
        <row r="23">
          <cell r="M23" t="str">
            <v>Ул. Мусоргского дом 19б</v>
          </cell>
          <cell r="N23">
            <v>517846.18</v>
          </cell>
          <cell r="O23">
            <v>522619.92</v>
          </cell>
        </row>
        <row r="24">
          <cell r="M24" t="str">
            <v>Ул. Мусоргского дом 21/1</v>
          </cell>
          <cell r="N24">
            <v>800254.67999999993</v>
          </cell>
          <cell r="O24">
            <v>792025.5</v>
          </cell>
        </row>
        <row r="25">
          <cell r="M25" t="str">
            <v>Ул. Мусоргского дом 23</v>
          </cell>
          <cell r="N25">
            <v>1607797.2200000002</v>
          </cell>
          <cell r="O25">
            <v>1558614.08</v>
          </cell>
        </row>
        <row r="26">
          <cell r="M26" t="str">
            <v>Ул. Мусоргского дом 25</v>
          </cell>
          <cell r="N26">
            <v>648077.60000000009</v>
          </cell>
          <cell r="O26">
            <v>642771.93999999994</v>
          </cell>
        </row>
        <row r="27">
          <cell r="M27" t="str">
            <v>Ул. Мусоргского дом 25/1</v>
          </cell>
          <cell r="N27">
            <v>848819.4</v>
          </cell>
          <cell r="O27">
            <v>854618.03</v>
          </cell>
        </row>
        <row r="28">
          <cell r="M28" t="str">
            <v>Ул. Правды дом 18</v>
          </cell>
          <cell r="N28">
            <v>1386013.32</v>
          </cell>
          <cell r="O28">
            <v>1407210.88</v>
          </cell>
        </row>
        <row r="29">
          <cell r="M29" t="str">
            <v>Ул. Правды дом 18/1</v>
          </cell>
          <cell r="N29">
            <v>668829.48</v>
          </cell>
          <cell r="O29">
            <v>700390.52</v>
          </cell>
        </row>
        <row r="30">
          <cell r="M30" t="str">
            <v>Ул. Правды дом 18/2</v>
          </cell>
          <cell r="N30">
            <v>441984.46</v>
          </cell>
          <cell r="O30">
            <v>484434.24</v>
          </cell>
        </row>
        <row r="31">
          <cell r="M31" t="str">
            <v>Ул. Правды дом 18/3</v>
          </cell>
          <cell r="N31">
            <v>869889.38000000012</v>
          </cell>
          <cell r="O31">
            <v>802652.5</v>
          </cell>
        </row>
        <row r="32">
          <cell r="M32" t="str">
            <v>Ул. Правды дом 20</v>
          </cell>
          <cell r="N32">
            <v>1048812.04</v>
          </cell>
          <cell r="O32">
            <v>1028552.72</v>
          </cell>
        </row>
        <row r="33">
          <cell r="M33" t="str">
            <v>Ул. Правды дом 20/1</v>
          </cell>
          <cell r="N33">
            <v>666692.34000000008</v>
          </cell>
          <cell r="O33">
            <v>655057.41999999993</v>
          </cell>
        </row>
        <row r="34">
          <cell r="M34" t="str">
            <v>Ул. Правды дом 20/2</v>
          </cell>
          <cell r="N34">
            <v>496178.2</v>
          </cell>
          <cell r="O34">
            <v>501463.72000000003</v>
          </cell>
        </row>
        <row r="35">
          <cell r="M35" t="str">
            <v>Ул. Правды дом 20/3</v>
          </cell>
          <cell r="N35">
            <v>523308.61</v>
          </cell>
          <cell r="O35">
            <v>516113.12</v>
          </cell>
        </row>
        <row r="36">
          <cell r="M36" t="str">
            <v>Ул. Таллинская дом 21</v>
          </cell>
          <cell r="N36">
            <v>651221.1</v>
          </cell>
          <cell r="O36">
            <v>646780.7300000001</v>
          </cell>
        </row>
        <row r="37">
          <cell r="M37" t="str">
            <v>Ул. Таллинская дом 21/А</v>
          </cell>
          <cell r="N37">
            <v>318864.10000000003</v>
          </cell>
          <cell r="O37">
            <v>300036.29000000004</v>
          </cell>
        </row>
        <row r="38">
          <cell r="M38" t="str">
            <v>Ул. Таллинская дом 21/Б</v>
          </cell>
          <cell r="N38">
            <v>441279.28</v>
          </cell>
          <cell r="O38">
            <v>468176.91</v>
          </cell>
        </row>
        <row r="40">
          <cell r="M40" t="str">
            <v>Ул. Таллинская дом 23</v>
          </cell>
          <cell r="N40">
            <v>522071.76</v>
          </cell>
          <cell r="O40">
            <v>511893.37</v>
          </cell>
        </row>
        <row r="41">
          <cell r="M41" t="str">
            <v>Ул. Таллинская дом 23/А</v>
          </cell>
          <cell r="N41">
            <v>674953.6</v>
          </cell>
          <cell r="O41">
            <v>655946.35</v>
          </cell>
        </row>
        <row r="42">
          <cell r="M42" t="str">
            <v>Ул. Таллинская дом 23/Б</v>
          </cell>
          <cell r="N42">
            <v>390348.06999999995</v>
          </cell>
          <cell r="O42">
            <v>332820.7</v>
          </cell>
        </row>
        <row r="45">
          <cell r="M45" t="str">
            <v>Ул. Дагестанская дом 15/1</v>
          </cell>
          <cell r="N45">
            <v>1025927.56</v>
          </cell>
          <cell r="O45">
            <v>1141483.8600000001</v>
          </cell>
        </row>
        <row r="46">
          <cell r="M46" t="str">
            <v>Ул. Дагестанская дом 17/1</v>
          </cell>
          <cell r="N46">
            <v>1683980.7599999998</v>
          </cell>
          <cell r="O46">
            <v>1673325.6500000001</v>
          </cell>
        </row>
        <row r="47">
          <cell r="M47" t="str">
            <v>Ул. Дагестанская дом 31</v>
          </cell>
          <cell r="N47">
            <v>583740.12</v>
          </cell>
          <cell r="O47">
            <v>581771.71</v>
          </cell>
        </row>
        <row r="48">
          <cell r="M48" t="str">
            <v>Ул. Мусоргского дом 21</v>
          </cell>
          <cell r="N48">
            <v>500288.52</v>
          </cell>
          <cell r="O48">
            <v>496645.77</v>
          </cell>
        </row>
        <row r="49">
          <cell r="M49" t="str">
            <v>Ул. Дагестанская дом 7</v>
          </cell>
          <cell r="N49">
            <v>288320.76</v>
          </cell>
          <cell r="O49">
            <v>307424.43</v>
          </cell>
        </row>
        <row r="50">
          <cell r="M50" t="str">
            <v>Ул. Дагестанская дом 9</v>
          </cell>
          <cell r="N50">
            <v>325613.37000000005</v>
          </cell>
          <cell r="O50">
            <v>269364.33999999997</v>
          </cell>
        </row>
        <row r="51">
          <cell r="M51" t="str">
            <v>Ул. Дагестанская дом 9/1</v>
          </cell>
          <cell r="N51">
            <v>130564.32</v>
          </cell>
          <cell r="O51">
            <v>131422.06</v>
          </cell>
        </row>
        <row r="52">
          <cell r="M52" t="str">
            <v>Ул. Дагестанская дом 11</v>
          </cell>
          <cell r="N52">
            <v>324557.04000000004</v>
          </cell>
          <cell r="O52">
            <v>337170.29000000004</v>
          </cell>
        </row>
        <row r="53">
          <cell r="M53" t="str">
            <v>Ул. Дагестанская дом 13</v>
          </cell>
          <cell r="N53">
            <v>263263.89999999997</v>
          </cell>
          <cell r="O53">
            <v>276130.94</v>
          </cell>
        </row>
        <row r="54">
          <cell r="M54" t="str">
            <v>Ул. Левитана дом 7</v>
          </cell>
          <cell r="N54">
            <v>379457.68000000005</v>
          </cell>
          <cell r="O54">
            <v>383572.86000000004</v>
          </cell>
        </row>
        <row r="55">
          <cell r="M55" t="str">
            <v>Ул. Левитана дом 14/1</v>
          </cell>
          <cell r="N55">
            <v>708021.1399999999</v>
          </cell>
          <cell r="O55">
            <v>791846.8899999999</v>
          </cell>
        </row>
        <row r="56">
          <cell r="M56" t="str">
            <v>Ул. Левитана дом 14/2</v>
          </cell>
          <cell r="N56">
            <v>712075.84</v>
          </cell>
          <cell r="O56">
            <v>675188.72</v>
          </cell>
        </row>
        <row r="57">
          <cell r="M57" t="str">
            <v>Ул. Левитана дом 14/3</v>
          </cell>
          <cell r="N57">
            <v>699129.06</v>
          </cell>
          <cell r="O57">
            <v>704304.6</v>
          </cell>
        </row>
        <row r="58">
          <cell r="M58" t="str">
            <v>Ул. Левитана дом 20</v>
          </cell>
          <cell r="N58">
            <v>1646397.48</v>
          </cell>
          <cell r="O58">
            <v>1697920.65</v>
          </cell>
        </row>
        <row r="59">
          <cell r="M59" t="str">
            <v>Ул. Левитана дом 21/А</v>
          </cell>
          <cell r="N59">
            <v>248190.02</v>
          </cell>
          <cell r="O59">
            <v>237934.37</v>
          </cell>
        </row>
        <row r="60">
          <cell r="M60" t="str">
            <v>Ул. Правды дом 1</v>
          </cell>
          <cell r="N60">
            <v>889138.05999999994</v>
          </cell>
          <cell r="O60">
            <v>828864.26</v>
          </cell>
        </row>
        <row r="61">
          <cell r="M61" t="str">
            <v>Ул. Правды дом 2</v>
          </cell>
          <cell r="N61">
            <v>235249.88</v>
          </cell>
          <cell r="O61">
            <v>229578.48</v>
          </cell>
        </row>
        <row r="62">
          <cell r="M62" t="str">
            <v>Ул. Правды дом 3</v>
          </cell>
          <cell r="N62">
            <v>458371.08</v>
          </cell>
          <cell r="O62">
            <v>439632.57</v>
          </cell>
        </row>
        <row r="63">
          <cell r="M63" t="str">
            <v>Ул. Правды дом 4</v>
          </cell>
          <cell r="N63">
            <v>298914.37999999995</v>
          </cell>
          <cell r="O63">
            <v>295780.15999999997</v>
          </cell>
        </row>
        <row r="64">
          <cell r="M64" t="str">
            <v>Ул. Правды дом 4/1</v>
          </cell>
          <cell r="N64">
            <v>403827.74</v>
          </cell>
          <cell r="O64">
            <v>390813.39</v>
          </cell>
        </row>
        <row r="65">
          <cell r="M65" t="str">
            <v>Ул. Правды дом 6</v>
          </cell>
          <cell r="N65">
            <v>327472.95</v>
          </cell>
          <cell r="O65">
            <v>249400.92</v>
          </cell>
        </row>
        <row r="66">
          <cell r="M66" t="str">
            <v>Ул. Правды дом 6/А</v>
          </cell>
          <cell r="N66">
            <v>223946.38</v>
          </cell>
          <cell r="O66">
            <v>195151.26</v>
          </cell>
        </row>
        <row r="67">
          <cell r="M67" t="str">
            <v>Ул. Правды дом 8</v>
          </cell>
          <cell r="N67">
            <v>276492.44</v>
          </cell>
          <cell r="O67">
            <v>291987.71999999997</v>
          </cell>
        </row>
        <row r="68">
          <cell r="M68" t="str">
            <v>Ул. Правды дом 8/1</v>
          </cell>
          <cell r="N68">
            <v>362491.12</v>
          </cell>
          <cell r="O68">
            <v>338480.57</v>
          </cell>
        </row>
        <row r="69">
          <cell r="M69" t="str">
            <v>Ул. Правды дом 8/А</v>
          </cell>
          <cell r="N69">
            <v>275378.40000000002</v>
          </cell>
          <cell r="O69">
            <v>272032.94</v>
          </cell>
        </row>
        <row r="70">
          <cell r="M70" t="str">
            <v>Ул. Правды дом 10</v>
          </cell>
          <cell r="N70">
            <v>189175.08</v>
          </cell>
          <cell r="O70">
            <v>198392.79</v>
          </cell>
        </row>
        <row r="71">
          <cell r="M71" t="str">
            <v>Ул. Правды дом 10/А</v>
          </cell>
          <cell r="N71">
            <v>259140.96</v>
          </cell>
          <cell r="O71">
            <v>285436.53000000003</v>
          </cell>
        </row>
        <row r="72">
          <cell r="M72" t="str">
            <v>Ул. Правды дом 11</v>
          </cell>
          <cell r="N72">
            <v>461639.28</v>
          </cell>
          <cell r="O72">
            <v>448222.27</v>
          </cell>
        </row>
        <row r="73">
          <cell r="M73" t="str">
            <v>Ул. Правды дом 13</v>
          </cell>
          <cell r="N73">
            <v>374789.28</v>
          </cell>
          <cell r="O73">
            <v>365350.86</v>
          </cell>
        </row>
        <row r="74">
          <cell r="M74" t="str">
            <v>Ул. Правды дом 15</v>
          </cell>
          <cell r="N74">
            <v>968209.22</v>
          </cell>
          <cell r="O74">
            <v>932069.77</v>
          </cell>
        </row>
        <row r="75">
          <cell r="M75" t="str">
            <v>Ул. Таллинская дом 4</v>
          </cell>
          <cell r="N75">
            <v>770207.21000000008</v>
          </cell>
          <cell r="O75">
            <v>819761.2699999999</v>
          </cell>
        </row>
        <row r="76">
          <cell r="M76" t="str">
            <v>Ул. Таллинская дом 6</v>
          </cell>
          <cell r="N76">
            <v>404719.56</v>
          </cell>
          <cell r="O76">
            <v>436243.68</v>
          </cell>
        </row>
        <row r="77">
          <cell r="M77" t="str">
            <v>Ул. Таллинская дом 7</v>
          </cell>
          <cell r="N77">
            <v>446170.58</v>
          </cell>
          <cell r="O77">
            <v>431290.48</v>
          </cell>
        </row>
        <row r="78">
          <cell r="M78" t="str">
            <v>Ул. Таллинская дом 14</v>
          </cell>
          <cell r="N78">
            <v>271837.42</v>
          </cell>
          <cell r="O78">
            <v>296422.17</v>
          </cell>
        </row>
        <row r="79">
          <cell r="M79" t="str">
            <v>Ул. Таллинская дом 24/1</v>
          </cell>
          <cell r="N79">
            <v>555268.1</v>
          </cell>
          <cell r="O79">
            <v>535942.07999999996</v>
          </cell>
        </row>
        <row r="80">
          <cell r="M80" t="str">
            <v>Ул. Таллинская дом 26/1</v>
          </cell>
          <cell r="N80">
            <v>407171.34</v>
          </cell>
          <cell r="O80">
            <v>414656.83000000007</v>
          </cell>
        </row>
        <row r="81">
          <cell r="M81" t="str">
            <v>Ул. Таллинская дом 28/1</v>
          </cell>
          <cell r="N81">
            <v>387597.88</v>
          </cell>
          <cell r="O81">
            <v>401397.9</v>
          </cell>
        </row>
        <row r="82">
          <cell r="M82" t="str">
            <v>Ул. Центральная дом 1</v>
          </cell>
          <cell r="N82">
            <v>20599.919999999998</v>
          </cell>
          <cell r="O82">
            <v>24817.48</v>
          </cell>
        </row>
        <row r="83">
          <cell r="M83" t="str">
            <v>Ул. Центральная дом 1/2</v>
          </cell>
          <cell r="N83">
            <v>1024122.76</v>
          </cell>
          <cell r="O83">
            <v>1076250.95</v>
          </cell>
        </row>
        <row r="84">
          <cell r="M84" t="str">
            <v>Ул. Центральная дом 3</v>
          </cell>
          <cell r="N84">
            <v>15218.32</v>
          </cell>
          <cell r="O84">
            <v>15069.8</v>
          </cell>
        </row>
        <row r="85">
          <cell r="M85" t="str">
            <v>Ул. Центральная дом 6/1</v>
          </cell>
          <cell r="N85">
            <v>552409.16</v>
          </cell>
          <cell r="O85">
            <v>509056.35000000003</v>
          </cell>
        </row>
        <row r="86">
          <cell r="M86" t="str">
            <v>Ул. Центральная дом 18/1</v>
          </cell>
          <cell r="N86">
            <v>298973.18</v>
          </cell>
          <cell r="O86">
            <v>302628.07</v>
          </cell>
        </row>
        <row r="87">
          <cell r="M87" t="str">
            <v>Ул. Магистральная дом 20/1</v>
          </cell>
          <cell r="N87">
            <v>689532</v>
          </cell>
          <cell r="O87">
            <v>705035.97</v>
          </cell>
        </row>
        <row r="88">
          <cell r="M88" t="str">
            <v>Ул. Магистральная дом 27</v>
          </cell>
          <cell r="N88">
            <v>1738836.48</v>
          </cell>
          <cell r="O88">
            <v>1720246.25</v>
          </cell>
        </row>
        <row r="89">
          <cell r="M89" t="str">
            <v>Ул. Мусы Джалиля дом 64</v>
          </cell>
          <cell r="N89">
            <v>2074082.07</v>
          </cell>
          <cell r="O89">
            <v>1835514.36</v>
          </cell>
        </row>
        <row r="90">
          <cell r="M90" t="str">
            <v>Ул. Мусы Джалиля дом 66</v>
          </cell>
          <cell r="N90">
            <v>2445318.5499999998</v>
          </cell>
          <cell r="O90">
            <v>2451363.9</v>
          </cell>
        </row>
        <row r="91">
          <cell r="M91" t="str">
            <v>Ул. Мусы Джалиля дом 68</v>
          </cell>
          <cell r="N91">
            <v>2030405.22</v>
          </cell>
          <cell r="O91">
            <v>1993153.96</v>
          </cell>
        </row>
        <row r="92">
          <cell r="M92" t="str">
            <v>Ул. Мусы Джалиля дом 68/1</v>
          </cell>
          <cell r="N92">
            <v>1460996.56</v>
          </cell>
          <cell r="O92">
            <v>1423608.98</v>
          </cell>
        </row>
        <row r="93">
          <cell r="M93" t="str">
            <v>Ул. Мусы Джалиля дом 72/1</v>
          </cell>
          <cell r="N93">
            <v>870747.42</v>
          </cell>
          <cell r="O93">
            <v>940735.97</v>
          </cell>
        </row>
        <row r="94">
          <cell r="M94" t="str">
            <v>Ул. Мусы Джалиля дом 74</v>
          </cell>
          <cell r="N94">
            <v>3842750.04</v>
          </cell>
          <cell r="O94">
            <v>3897433.72</v>
          </cell>
        </row>
        <row r="95">
          <cell r="M95" t="str">
            <v>Ул. Мусы Джалиля дом 74/1</v>
          </cell>
          <cell r="N95">
            <v>1557628.68</v>
          </cell>
          <cell r="O95">
            <v>1473099.78</v>
          </cell>
        </row>
        <row r="96">
          <cell r="M96" t="str">
            <v>Ул. Мусы Джалиля дом 74/3</v>
          </cell>
          <cell r="N96">
            <v>472989.81999999995</v>
          </cell>
          <cell r="O96">
            <v>437363.93999999994</v>
          </cell>
        </row>
        <row r="97">
          <cell r="M97" t="str">
            <v>Ул. Островского дом 16/1</v>
          </cell>
          <cell r="N97">
            <v>2197040.71</v>
          </cell>
          <cell r="O97">
            <v>2278521.77</v>
          </cell>
        </row>
        <row r="98">
          <cell r="M98" t="str">
            <v>Ул. Островского дом 18/1</v>
          </cell>
          <cell r="N98">
            <v>1513089.85</v>
          </cell>
          <cell r="O98">
            <v>1476211.68</v>
          </cell>
        </row>
        <row r="99">
          <cell r="M99" t="str">
            <v>Ул. Правды дом 21</v>
          </cell>
          <cell r="N99">
            <v>2473665.2400000002</v>
          </cell>
          <cell r="O99">
            <v>2448003.11</v>
          </cell>
        </row>
        <row r="100">
          <cell r="M100" t="str">
            <v>Ул. Правды дом 23</v>
          </cell>
          <cell r="N100">
            <v>866983.85</v>
          </cell>
          <cell r="O100">
            <v>887094.1100000001</v>
          </cell>
        </row>
        <row r="101">
          <cell r="M101" t="str">
            <v>Ул. Ухтомского дом 10</v>
          </cell>
          <cell r="N101">
            <v>1018464.26</v>
          </cell>
          <cell r="O101">
            <v>1061092.3700000001</v>
          </cell>
        </row>
        <row r="102">
          <cell r="M102" t="str">
            <v>Ул. Ухтомского дом 11</v>
          </cell>
          <cell r="N102">
            <v>947497.55999999994</v>
          </cell>
          <cell r="O102">
            <v>945786.02</v>
          </cell>
        </row>
        <row r="103">
          <cell r="M103" t="str">
            <v>Ул. Ухтомского дом 12</v>
          </cell>
          <cell r="N103">
            <v>2430874.04</v>
          </cell>
          <cell r="O103">
            <v>2440177.7199999997</v>
          </cell>
        </row>
        <row r="104">
          <cell r="M104" t="str">
            <v>Ул. Ухтомского дом 16</v>
          </cell>
          <cell r="N104">
            <v>1078466.3999999999</v>
          </cell>
          <cell r="O104">
            <v>1108091.3500000001</v>
          </cell>
        </row>
        <row r="105">
          <cell r="M105" t="str">
            <v>Ул. Ухтомского дом 20</v>
          </cell>
          <cell r="N105">
            <v>342920.24</v>
          </cell>
          <cell r="O105">
            <v>344176.05</v>
          </cell>
        </row>
        <row r="106">
          <cell r="M106" t="str">
            <v>Ул. Ухтомского дом 22</v>
          </cell>
          <cell r="N106">
            <v>1592704.48</v>
          </cell>
          <cell r="O106">
            <v>1670026.89</v>
          </cell>
        </row>
        <row r="107">
          <cell r="M107" t="str">
            <v>Ул. Ухтомского дом 24</v>
          </cell>
          <cell r="N107">
            <v>1337046.6400000001</v>
          </cell>
          <cell r="O107">
            <v>1312580.67</v>
          </cell>
        </row>
        <row r="108">
          <cell r="M108" t="str">
            <v>Ул. Ухтомского дом 26</v>
          </cell>
          <cell r="N108">
            <v>2944545.0999999996</v>
          </cell>
          <cell r="O108">
            <v>2896509.3</v>
          </cell>
        </row>
        <row r="109">
          <cell r="M109" t="str">
            <v>Ул. Ухтомского дом 26/2</v>
          </cell>
          <cell r="N109">
            <v>862461.24</v>
          </cell>
          <cell r="O109">
            <v>849418.79</v>
          </cell>
        </row>
        <row r="110">
          <cell r="M110" t="str">
            <v>Ул. Ухтомского дом 28</v>
          </cell>
          <cell r="N110">
            <v>1369600.56</v>
          </cell>
          <cell r="O110">
            <v>1414806.83</v>
          </cell>
        </row>
        <row r="111">
          <cell r="M111" t="str">
            <v>Ул. Ухтомского дом 30</v>
          </cell>
          <cell r="N111">
            <v>1315485.42</v>
          </cell>
          <cell r="O111">
            <v>1264537.28</v>
          </cell>
        </row>
        <row r="112">
          <cell r="M112" t="str">
            <v>Ул. Ухтомского дом 30/2</v>
          </cell>
          <cell r="N112">
            <v>1157289.3</v>
          </cell>
          <cell r="O112">
            <v>1107409.9099999999</v>
          </cell>
        </row>
        <row r="113">
          <cell r="M113" t="str">
            <v>Ул. 1-я Строителей дом 42</v>
          </cell>
          <cell r="N113">
            <v>268635.89999999997</v>
          </cell>
          <cell r="O113">
            <v>265961.95</v>
          </cell>
        </row>
        <row r="114">
          <cell r="M114" t="str">
            <v>Ул. 1-я Строителей дом 44</v>
          </cell>
          <cell r="N114">
            <v>309222.59999999998</v>
          </cell>
          <cell r="O114">
            <v>294687.95</v>
          </cell>
        </row>
        <row r="115">
          <cell r="M115" t="str">
            <v>Ул. 1-я Строителей дом 46</v>
          </cell>
          <cell r="N115">
            <v>495028.95</v>
          </cell>
          <cell r="O115">
            <v>453796.17000000004</v>
          </cell>
        </row>
        <row r="116">
          <cell r="M116" t="str">
            <v>Ул. Грозненская дом 67/1</v>
          </cell>
          <cell r="N116">
            <v>867489.24</v>
          </cell>
          <cell r="O116">
            <v>937579.37999999989</v>
          </cell>
        </row>
        <row r="117">
          <cell r="M117" t="str">
            <v>Ул. Грозненская дом 67/2</v>
          </cell>
          <cell r="N117">
            <v>431314.8</v>
          </cell>
          <cell r="O117">
            <v>439371.89</v>
          </cell>
        </row>
        <row r="118">
          <cell r="M118" t="str">
            <v>Ул. Грозненская дом 67/3</v>
          </cell>
          <cell r="N118">
            <v>755378.88</v>
          </cell>
          <cell r="O118">
            <v>756957.48</v>
          </cell>
        </row>
        <row r="119">
          <cell r="M119" t="str">
            <v>Ул. Грозненская дом 67/4</v>
          </cell>
          <cell r="N119">
            <v>382795.2</v>
          </cell>
          <cell r="O119">
            <v>412233.45999999996</v>
          </cell>
        </row>
        <row r="120">
          <cell r="M120" t="str">
            <v>Ул. Грозненская дом 67/5</v>
          </cell>
          <cell r="N120">
            <v>867242.28</v>
          </cell>
          <cell r="O120">
            <v>924399.19000000006</v>
          </cell>
        </row>
        <row r="121">
          <cell r="M121" t="str">
            <v>Ул. Грозненская дом 69/7</v>
          </cell>
          <cell r="N121">
            <v>2670898.3200000003</v>
          </cell>
          <cell r="O121">
            <v>2625383.7800000003</v>
          </cell>
        </row>
        <row r="122">
          <cell r="M122" t="str">
            <v>Ул. Грозненская дом 71/1</v>
          </cell>
          <cell r="N122">
            <v>1205371.3700000001</v>
          </cell>
          <cell r="O122">
            <v>1317462.1599999999</v>
          </cell>
        </row>
        <row r="123">
          <cell r="M123" t="str">
            <v>Ул. Левитана дом 14/4</v>
          </cell>
          <cell r="N123">
            <v>426230.01</v>
          </cell>
          <cell r="O123">
            <v>423994.68</v>
          </cell>
        </row>
        <row r="124">
          <cell r="M124" t="str">
            <v>Ул. Левитана дом 14/5</v>
          </cell>
          <cell r="N124">
            <v>500127.9</v>
          </cell>
          <cell r="O124">
            <v>496654.94</v>
          </cell>
        </row>
        <row r="125">
          <cell r="M125" t="str">
            <v>Ул. Левитана дом 14/6</v>
          </cell>
          <cell r="N125">
            <v>567147.4</v>
          </cell>
          <cell r="O125">
            <v>544809.67000000004</v>
          </cell>
        </row>
        <row r="126">
          <cell r="M126" t="str">
            <v>Ул. Левитана дом 22</v>
          </cell>
          <cell r="N126">
            <v>1552241.64</v>
          </cell>
          <cell r="O126">
            <v>1558314.21</v>
          </cell>
        </row>
        <row r="127">
          <cell r="M127" t="str">
            <v>Ул. Левитана дом 22/1</v>
          </cell>
          <cell r="N127">
            <v>504416.43</v>
          </cell>
          <cell r="O127">
            <v>487536.04</v>
          </cell>
        </row>
        <row r="128">
          <cell r="M128" t="str">
            <v>Ул. Левитана дом 22/2</v>
          </cell>
          <cell r="N128">
            <v>560355.57999999996</v>
          </cell>
          <cell r="O128">
            <v>605295.39999999991</v>
          </cell>
        </row>
        <row r="129">
          <cell r="M129" t="str">
            <v>Ул. Левитана дом 36</v>
          </cell>
          <cell r="N129">
            <v>1403424</v>
          </cell>
          <cell r="O129">
            <v>1405377.2400000002</v>
          </cell>
        </row>
        <row r="130">
          <cell r="M130" t="str">
            <v>Ул. Левитана дом 36/1</v>
          </cell>
          <cell r="N130">
            <v>1206128.6100000001</v>
          </cell>
          <cell r="O130">
            <v>1206694.0900000001</v>
          </cell>
        </row>
        <row r="131">
          <cell r="M131" t="str">
            <v>Ул. Левитана дом 38</v>
          </cell>
          <cell r="N131">
            <v>922365.58000000007</v>
          </cell>
          <cell r="O131">
            <v>925523.16</v>
          </cell>
        </row>
        <row r="132">
          <cell r="M132" t="str">
            <v>Ул. Левитана дом 38/1</v>
          </cell>
          <cell r="N132">
            <v>371986.4</v>
          </cell>
          <cell r="O132">
            <v>353805.37</v>
          </cell>
        </row>
        <row r="133">
          <cell r="M133" t="str">
            <v>Ул. Левитана дом 38/2</v>
          </cell>
          <cell r="N133">
            <v>495642.6</v>
          </cell>
          <cell r="O133">
            <v>475575.98</v>
          </cell>
        </row>
        <row r="134">
          <cell r="M134" t="str">
            <v>Ул. Левитана дом 38/3</v>
          </cell>
          <cell r="N134">
            <v>1957230.3</v>
          </cell>
          <cell r="O134">
            <v>1830604.42</v>
          </cell>
        </row>
        <row r="135">
          <cell r="M135" t="str">
            <v>Ул. Левитана дом 71</v>
          </cell>
          <cell r="N135">
            <v>1073334.92</v>
          </cell>
          <cell r="O135">
            <v>1061735.45</v>
          </cell>
        </row>
        <row r="136">
          <cell r="M136" t="str">
            <v>Ул. Минская дом 58</v>
          </cell>
          <cell r="N136">
            <v>472230.84</v>
          </cell>
          <cell r="O136">
            <v>447677.74</v>
          </cell>
        </row>
        <row r="137">
          <cell r="M137" t="str">
            <v>Ул. Новороссийская дом 2</v>
          </cell>
          <cell r="N137">
            <v>473525.97</v>
          </cell>
          <cell r="O137">
            <v>331276.15000000002</v>
          </cell>
        </row>
        <row r="138">
          <cell r="M138" t="str">
            <v>Ул. Правды дом 25</v>
          </cell>
          <cell r="N138">
            <v>2574233.4700000002</v>
          </cell>
          <cell r="O138">
            <v>2489842.2599999998</v>
          </cell>
        </row>
        <row r="139">
          <cell r="M139" t="str">
            <v>Ул. Правды дом 25/1</v>
          </cell>
          <cell r="N139">
            <v>302068.2</v>
          </cell>
          <cell r="O139">
            <v>305493.65000000002</v>
          </cell>
        </row>
        <row r="140">
          <cell r="M140" t="str">
            <v>Ул. Правды дом 25/2</v>
          </cell>
          <cell r="N140">
            <v>1133366.3999999999</v>
          </cell>
          <cell r="O140">
            <v>1141893.7</v>
          </cell>
        </row>
        <row r="141">
          <cell r="M141" t="str">
            <v>Ул. Правды дом 31/1</v>
          </cell>
          <cell r="N141">
            <v>738525.77</v>
          </cell>
          <cell r="O141">
            <v>714407.35000000009</v>
          </cell>
        </row>
        <row r="142">
          <cell r="M142" t="str">
            <v>Ул. Правды дом 37/1</v>
          </cell>
          <cell r="N142">
            <v>2074707.24</v>
          </cell>
          <cell r="O142">
            <v>2021705.9100000001</v>
          </cell>
        </row>
        <row r="143">
          <cell r="M143" t="str">
            <v>Ул. Дагестанская дом 5</v>
          </cell>
          <cell r="N143">
            <v>227854.36</v>
          </cell>
          <cell r="O143">
            <v>205097.16</v>
          </cell>
        </row>
        <row r="144">
          <cell r="M144" t="str">
            <v>Ул. Левитана дом 3</v>
          </cell>
          <cell r="N144">
            <v>306624.02</v>
          </cell>
          <cell r="O144">
            <v>352130.96</v>
          </cell>
        </row>
        <row r="145">
          <cell r="M145" t="str">
            <v>Ул. Левитана дом 5</v>
          </cell>
          <cell r="N145">
            <v>341288.04</v>
          </cell>
          <cell r="O145">
            <v>353582.95</v>
          </cell>
        </row>
        <row r="146">
          <cell r="M146" t="str">
            <v>Ул. Левитана дом 7/А</v>
          </cell>
          <cell r="N146">
            <v>111616.24</v>
          </cell>
          <cell r="O146">
            <v>111856.21</v>
          </cell>
        </row>
        <row r="147">
          <cell r="M147" t="str">
            <v>Ул. Левитана дом 9</v>
          </cell>
          <cell r="N147">
            <v>187267.44</v>
          </cell>
          <cell r="O147">
            <v>167987.69</v>
          </cell>
        </row>
        <row r="148">
          <cell r="M148" t="str">
            <v>Ул. Левитана дом 9/А</v>
          </cell>
          <cell r="N148">
            <v>108086.04</v>
          </cell>
          <cell r="O148">
            <v>107482.34</v>
          </cell>
        </row>
        <row r="149">
          <cell r="M149" t="str">
            <v>Ул. Левитана дом 13</v>
          </cell>
          <cell r="N149">
            <v>266255</v>
          </cell>
          <cell r="O149">
            <v>230381.87</v>
          </cell>
        </row>
        <row r="150">
          <cell r="M150" t="str">
            <v>Ул. Левитана дом 15</v>
          </cell>
          <cell r="N150">
            <v>147859.74</v>
          </cell>
          <cell r="O150">
            <v>110320.71</v>
          </cell>
        </row>
        <row r="151">
          <cell r="M151" t="str">
            <v>Ул. Левитана дом 17</v>
          </cell>
          <cell r="N151">
            <v>141354.23999999999</v>
          </cell>
          <cell r="O151">
            <v>150163.89000000001</v>
          </cell>
        </row>
        <row r="152">
          <cell r="M152" t="str">
            <v>Ул. Левитана дом 19</v>
          </cell>
          <cell r="N152">
            <v>141864.78</v>
          </cell>
          <cell r="O152">
            <v>127054.29</v>
          </cell>
        </row>
        <row r="153">
          <cell r="M153" t="str">
            <v>Ул. Левитана дом 21</v>
          </cell>
          <cell r="N153">
            <v>112670.3</v>
          </cell>
          <cell r="O153">
            <v>103201.69</v>
          </cell>
        </row>
        <row r="154">
          <cell r="M154" t="str">
            <v>Ул. Левитана дом 23</v>
          </cell>
          <cell r="N154">
            <v>115094.64</v>
          </cell>
          <cell r="O154">
            <v>99979.54</v>
          </cell>
        </row>
        <row r="155">
          <cell r="M155" t="str">
            <v>Ул. Локомотивная дом 2</v>
          </cell>
          <cell r="N155">
            <v>20589.919999999998</v>
          </cell>
          <cell r="O155">
            <v>21721.59</v>
          </cell>
        </row>
        <row r="156">
          <cell r="M156" t="str">
            <v>Ул. Локомотивная дом 4</v>
          </cell>
          <cell r="N156">
            <v>21589.5</v>
          </cell>
          <cell r="O156">
            <v>21444.75</v>
          </cell>
        </row>
        <row r="157">
          <cell r="M157" t="str">
            <v>Ул. Локомотивная дом 6</v>
          </cell>
          <cell r="N157">
            <v>41221.58</v>
          </cell>
          <cell r="O157">
            <v>38277</v>
          </cell>
        </row>
        <row r="158">
          <cell r="M158" t="str">
            <v>Ул. Локомотивная дом 26</v>
          </cell>
          <cell r="N158">
            <v>29171.88</v>
          </cell>
          <cell r="O158">
            <v>27163.73</v>
          </cell>
        </row>
        <row r="159">
          <cell r="M159" t="str">
            <v>Ул. Мусы Джалиля дом 4</v>
          </cell>
          <cell r="N159">
            <v>86524.38</v>
          </cell>
          <cell r="O159">
            <v>75766.509999999995</v>
          </cell>
        </row>
        <row r="160">
          <cell r="M160" t="str">
            <v>Ул. Мусы Джалиля дом 6</v>
          </cell>
          <cell r="N160">
            <v>158967.07999999999</v>
          </cell>
          <cell r="O160">
            <v>117691.53</v>
          </cell>
        </row>
        <row r="161">
          <cell r="M161" t="str">
            <v>Ул. Мусы Джалиля дом 8</v>
          </cell>
          <cell r="N161">
            <v>78555.28</v>
          </cell>
          <cell r="O161">
            <v>70744.25</v>
          </cell>
        </row>
        <row r="162">
          <cell r="M162" t="str">
            <v>Ул. Мусы Джалиля дом 10</v>
          </cell>
          <cell r="N162">
            <v>210753.94</v>
          </cell>
          <cell r="O162">
            <v>245554.35</v>
          </cell>
        </row>
        <row r="163">
          <cell r="M163" t="str">
            <v>Ул. Правды дом 12</v>
          </cell>
          <cell r="N163">
            <v>283695.93</v>
          </cell>
          <cell r="O163">
            <v>234173.4</v>
          </cell>
        </row>
        <row r="164">
          <cell r="M164" t="str">
            <v>Ул. Рядовая дом 2</v>
          </cell>
          <cell r="N164">
            <v>113325.62</v>
          </cell>
          <cell r="O164">
            <v>100139.49</v>
          </cell>
        </row>
        <row r="165">
          <cell r="M165" t="str">
            <v>Ул. Рядовая дом 3</v>
          </cell>
          <cell r="N165">
            <v>97473.72</v>
          </cell>
          <cell r="O165">
            <v>81617.17</v>
          </cell>
        </row>
        <row r="166">
          <cell r="M166" t="str">
            <v>Ул. Рядовая дом 3/1</v>
          </cell>
          <cell r="N166">
            <v>152158.20000000001</v>
          </cell>
          <cell r="O166">
            <v>144483.66</v>
          </cell>
        </row>
        <row r="167">
          <cell r="M167" t="str">
            <v>Ул. Рядовая дом 5</v>
          </cell>
          <cell r="N167">
            <v>108444.48</v>
          </cell>
          <cell r="O167">
            <v>110502.28</v>
          </cell>
        </row>
        <row r="168">
          <cell r="M168" t="str">
            <v>Ул. Рядовая дом 5/1</v>
          </cell>
          <cell r="N168">
            <v>173949.26</v>
          </cell>
          <cell r="O168">
            <v>171151.2</v>
          </cell>
        </row>
        <row r="169">
          <cell r="M169" t="str">
            <v>Ул. Рядовая дом 7</v>
          </cell>
          <cell r="N169">
            <v>127019.3</v>
          </cell>
          <cell r="O169">
            <v>137595.59</v>
          </cell>
        </row>
        <row r="170">
          <cell r="M170" t="str">
            <v>Ул. Рядовая дом 7/1</v>
          </cell>
          <cell r="N170">
            <v>184660.72</v>
          </cell>
          <cell r="O170">
            <v>176066.31</v>
          </cell>
        </row>
        <row r="171">
          <cell r="M171" t="str">
            <v>Ул. Таллинская дом 2/1</v>
          </cell>
          <cell r="N171">
            <v>147240.29999999999</v>
          </cell>
          <cell r="O171">
            <v>136823.72</v>
          </cell>
        </row>
        <row r="172">
          <cell r="M172" t="str">
            <v>Ул. Таллинская дом 3/1</v>
          </cell>
          <cell r="N172">
            <v>241326.3</v>
          </cell>
          <cell r="O172">
            <v>229810.75</v>
          </cell>
        </row>
        <row r="173">
          <cell r="M173" t="str">
            <v>Ул. Таллинская дом 3/А</v>
          </cell>
          <cell r="N173">
            <v>89219.56</v>
          </cell>
          <cell r="O173">
            <v>76790.39</v>
          </cell>
        </row>
        <row r="174">
          <cell r="M174" t="str">
            <v>Ул. Таллинская дом 3/Б</v>
          </cell>
          <cell r="N174">
            <v>83974.840000000011</v>
          </cell>
          <cell r="O174">
            <v>84443.97</v>
          </cell>
        </row>
        <row r="177">
          <cell r="M177" t="str">
            <v>Ул. Таллинская дом 16</v>
          </cell>
          <cell r="N177">
            <v>150042.9</v>
          </cell>
          <cell r="O177">
            <v>143697.57999999999</v>
          </cell>
        </row>
        <row r="178">
          <cell r="M178" t="str">
            <v>Ул. Таллинская дом 18</v>
          </cell>
          <cell r="N178">
            <v>189666.11</v>
          </cell>
          <cell r="O178">
            <v>124826.89</v>
          </cell>
        </row>
        <row r="179">
          <cell r="M179" t="str">
            <v>Ул. Таллинская дом 20</v>
          </cell>
          <cell r="N179">
            <v>160228.14000000001</v>
          </cell>
          <cell r="O179">
            <v>147378.5</v>
          </cell>
        </row>
        <row r="180">
          <cell r="M180" t="str">
            <v>Ул. Таллинская дом 22</v>
          </cell>
          <cell r="N180">
            <v>127541.54</v>
          </cell>
          <cell r="O180">
            <v>120211.51</v>
          </cell>
        </row>
        <row r="181">
          <cell r="M181" t="str">
            <v>Ул. Таллинская дом 24</v>
          </cell>
          <cell r="N181">
            <v>163386.29999999999</v>
          </cell>
          <cell r="O181">
            <v>158069.6</v>
          </cell>
        </row>
        <row r="182">
          <cell r="M182" t="str">
            <v>Ул. Таллинская дом 26</v>
          </cell>
          <cell r="N182">
            <v>156776.11000000002</v>
          </cell>
          <cell r="O182">
            <v>149165.91</v>
          </cell>
        </row>
        <row r="183">
          <cell r="M183" t="str">
            <v>Ул. Таллинская дом 28</v>
          </cell>
          <cell r="N183">
            <v>150335.26</v>
          </cell>
          <cell r="O183">
            <v>153293.95000000001</v>
          </cell>
        </row>
        <row r="184">
          <cell r="M184" t="str">
            <v>Ул. Ухтомского дом 5</v>
          </cell>
          <cell r="N184">
            <v>135778.9</v>
          </cell>
          <cell r="O184">
            <v>124813.65</v>
          </cell>
        </row>
        <row r="185">
          <cell r="M185" t="str">
            <v>Ул. Центральная дом 2</v>
          </cell>
          <cell r="N185">
            <v>246504.24</v>
          </cell>
          <cell r="O185">
            <v>267464.01</v>
          </cell>
        </row>
        <row r="186">
          <cell r="M186" t="str">
            <v>Ул. Центральная дом 4</v>
          </cell>
          <cell r="N186">
            <v>195499.22</v>
          </cell>
          <cell r="O186">
            <v>201620.15</v>
          </cell>
        </row>
        <row r="187">
          <cell r="M187" t="str">
            <v>Ул. Центральная дом 4/А</v>
          </cell>
          <cell r="N187">
            <v>98585.12</v>
          </cell>
          <cell r="O187">
            <v>131106.29999999999</v>
          </cell>
        </row>
        <row r="188">
          <cell r="M188" t="str">
            <v>Ул. Центральная дом 6</v>
          </cell>
          <cell r="N188">
            <v>195450.9</v>
          </cell>
          <cell r="O188">
            <v>192226.57</v>
          </cell>
        </row>
        <row r="189">
          <cell r="M189" t="str">
            <v>Ул. Центральная дом 8</v>
          </cell>
          <cell r="N189">
            <v>306215.36</v>
          </cell>
          <cell r="O189">
            <v>254543.1</v>
          </cell>
        </row>
        <row r="190">
          <cell r="M190" t="str">
            <v>Ул. Центральная дом 10</v>
          </cell>
          <cell r="N190">
            <v>172680.1</v>
          </cell>
          <cell r="O190">
            <v>224462.13</v>
          </cell>
        </row>
        <row r="191">
          <cell r="M191" t="str">
            <v>Ул. Центральная дом 12</v>
          </cell>
          <cell r="N191">
            <v>164084.56</v>
          </cell>
          <cell r="O191">
            <v>124393.96</v>
          </cell>
        </row>
        <row r="192">
          <cell r="M192" t="str">
            <v>Ул. Центральная дом 12/А</v>
          </cell>
          <cell r="N192">
            <v>112400.3</v>
          </cell>
          <cell r="O192">
            <v>112473.78</v>
          </cell>
        </row>
        <row r="193">
          <cell r="M193" t="str">
            <v>Ул. Центральная дом 14</v>
          </cell>
          <cell r="N193">
            <v>267410.74</v>
          </cell>
          <cell r="O193">
            <v>270900.67</v>
          </cell>
        </row>
        <row r="194">
          <cell r="M194" t="str">
            <v>Ул. Центральная дом 14/А</v>
          </cell>
          <cell r="N194">
            <v>177081.58</v>
          </cell>
          <cell r="O194">
            <v>161568.76</v>
          </cell>
        </row>
        <row r="195">
          <cell r="M195" t="str">
            <v>Ул. Центральная дом 16</v>
          </cell>
          <cell r="N195">
            <v>261118.96</v>
          </cell>
          <cell r="O195">
            <v>262938.65999999997</v>
          </cell>
        </row>
        <row r="196">
          <cell r="M196" t="str">
            <v>Ул. Центральная дом 22</v>
          </cell>
          <cell r="N196">
            <v>98962.74</v>
          </cell>
          <cell r="O196">
            <v>94577.04</v>
          </cell>
        </row>
        <row r="197">
          <cell r="M197" t="str">
            <v>Ул. Центральная дом 22/А</v>
          </cell>
          <cell r="N197">
            <v>124622.32</v>
          </cell>
          <cell r="O197">
            <v>121445.95</v>
          </cell>
        </row>
        <row r="198">
          <cell r="M198" t="str">
            <v>Ул. Центральная дом 28</v>
          </cell>
          <cell r="N198">
            <v>166085.26999999999</v>
          </cell>
          <cell r="O198">
            <v>158163.98000000001</v>
          </cell>
        </row>
        <row r="199">
          <cell r="M199" t="str">
            <v>Ул. Центральная дом 30</v>
          </cell>
          <cell r="N199">
            <v>221686.42</v>
          </cell>
          <cell r="O199">
            <v>176957.22</v>
          </cell>
        </row>
        <row r="200">
          <cell r="M200" t="str">
            <v>Ул. Центральная дом 34</v>
          </cell>
          <cell r="N200">
            <v>107201.62</v>
          </cell>
          <cell r="O200">
            <v>106289.08</v>
          </cell>
        </row>
        <row r="201">
          <cell r="M201" t="str">
            <v>Ул. Альшеевская дом 10</v>
          </cell>
          <cell r="N201">
            <v>155563.79999999999</v>
          </cell>
          <cell r="O201">
            <v>157807.6</v>
          </cell>
        </row>
        <row r="202">
          <cell r="M202" t="str">
            <v>Ул. Альшеевская дом 12</v>
          </cell>
          <cell r="N202">
            <v>95104.9</v>
          </cell>
          <cell r="O202">
            <v>79715.37</v>
          </cell>
        </row>
        <row r="203">
          <cell r="M203" t="str">
            <v>Ул. Альшеевская дом 12/А</v>
          </cell>
          <cell r="N203">
            <v>33777.040000000001</v>
          </cell>
          <cell r="O203">
            <v>33447.56</v>
          </cell>
        </row>
        <row r="204">
          <cell r="M204" t="str">
            <v>Ул. Альшеевская дом 14</v>
          </cell>
          <cell r="N204">
            <v>82068.600000000006</v>
          </cell>
          <cell r="O204">
            <v>72140.23</v>
          </cell>
        </row>
        <row r="205">
          <cell r="M205" t="str">
            <v>Ул. Альшеевская дом 14/А</v>
          </cell>
          <cell r="N205">
            <v>29547.86</v>
          </cell>
          <cell r="O205">
            <v>28491.21</v>
          </cell>
        </row>
        <row r="206">
          <cell r="M206" t="str">
            <v>Ул. Альшеевская дом 15</v>
          </cell>
          <cell r="N206">
            <v>41943.96</v>
          </cell>
          <cell r="O206">
            <v>43493.14</v>
          </cell>
        </row>
        <row r="207">
          <cell r="M207" t="str">
            <v>Ул. Альшеевская дом 20/А</v>
          </cell>
          <cell r="N207">
            <v>30456.78</v>
          </cell>
          <cell r="O207">
            <v>28277.53</v>
          </cell>
        </row>
        <row r="208">
          <cell r="M208" t="str">
            <v>Ул. Альшеевская дом 32/A</v>
          </cell>
          <cell r="N208">
            <v>25614.54</v>
          </cell>
          <cell r="O208">
            <v>24533.72</v>
          </cell>
        </row>
        <row r="209">
          <cell r="M209" t="str">
            <v>Ул. Аургазинская дом 8</v>
          </cell>
          <cell r="N209">
            <v>60270.78</v>
          </cell>
          <cell r="O209">
            <v>51193.1</v>
          </cell>
        </row>
        <row r="210">
          <cell r="M210" t="str">
            <v>Ул. Левитана дом 8</v>
          </cell>
          <cell r="N210">
            <v>230087.48</v>
          </cell>
          <cell r="O210">
            <v>256659.59</v>
          </cell>
        </row>
        <row r="211">
          <cell r="M211" t="str">
            <v>Ул. Магистральная дом 7</v>
          </cell>
          <cell r="N211">
            <v>97842.26</v>
          </cell>
          <cell r="O211">
            <v>86511.05</v>
          </cell>
        </row>
        <row r="212">
          <cell r="M212" t="str">
            <v>Ул. Магистральная дом 7/A</v>
          </cell>
          <cell r="N212">
            <v>21836.16</v>
          </cell>
          <cell r="O212">
            <v>23367.45</v>
          </cell>
        </row>
        <row r="213">
          <cell r="M213" t="str">
            <v>Ул. Магистральная дом 9</v>
          </cell>
          <cell r="N213">
            <v>77250.460000000006</v>
          </cell>
          <cell r="O213">
            <v>41175.24</v>
          </cell>
        </row>
        <row r="214">
          <cell r="M214" t="str">
            <v>Ул. Магистральная дом 9/A</v>
          </cell>
          <cell r="N214">
            <v>50450.22</v>
          </cell>
          <cell r="O214">
            <v>77825.64</v>
          </cell>
        </row>
        <row r="215">
          <cell r="M215" t="str">
            <v>Ул. Магистральная дом 11</v>
          </cell>
          <cell r="N215">
            <v>10193.17</v>
          </cell>
          <cell r="O215">
            <v>0</v>
          </cell>
        </row>
        <row r="216">
          <cell r="M216" t="str">
            <v>Ул. Магистральная дом 11/A</v>
          </cell>
          <cell r="N216">
            <v>5446.9500000000007</v>
          </cell>
          <cell r="O216">
            <v>52062.27</v>
          </cell>
        </row>
        <row r="217">
          <cell r="M217" t="str">
            <v>Ул. Магистральная дом 12/1</v>
          </cell>
          <cell r="N217">
            <v>75227.039999999994</v>
          </cell>
          <cell r="O217">
            <v>61106.15</v>
          </cell>
        </row>
        <row r="218">
          <cell r="M218" t="str">
            <v>Ул. Магистральная дом 17</v>
          </cell>
          <cell r="N218">
            <v>37215.32</v>
          </cell>
          <cell r="O218">
            <v>37843.32</v>
          </cell>
        </row>
        <row r="219">
          <cell r="M219" t="str">
            <v>Ул. Магистральная дом 36</v>
          </cell>
          <cell r="N219">
            <v>83139.02</v>
          </cell>
          <cell r="O219">
            <v>83884.600000000006</v>
          </cell>
        </row>
        <row r="220">
          <cell r="M220" t="str">
            <v>Ул. Туринская дом 2А</v>
          </cell>
          <cell r="N220">
            <v>37227.310000000005</v>
          </cell>
          <cell r="O220">
            <v>19688.97</v>
          </cell>
        </row>
        <row r="221">
          <cell r="M221" t="str">
            <v>Ул. Туринская дом 2Б</v>
          </cell>
          <cell r="N221">
            <v>60787.21</v>
          </cell>
          <cell r="O221">
            <v>55075</v>
          </cell>
        </row>
        <row r="222">
          <cell r="M222" t="str">
            <v>Ул. Ухтомского дом 21</v>
          </cell>
          <cell r="N222">
            <v>101856.16</v>
          </cell>
          <cell r="O222">
            <v>91209.29</v>
          </cell>
        </row>
        <row r="223">
          <cell r="M223" t="str">
            <v>Ул. Ухтомского дом 23</v>
          </cell>
          <cell r="N223">
            <v>97309.66</v>
          </cell>
          <cell r="O223">
            <v>79717.52</v>
          </cell>
        </row>
        <row r="224">
          <cell r="M224" t="str">
            <v>Ул. Юматовская дом 2/Б</v>
          </cell>
          <cell r="N224">
            <v>116893.45999999999</v>
          </cell>
          <cell r="O224">
            <v>118991.11</v>
          </cell>
        </row>
        <row r="226">
          <cell r="M226" t="str">
            <v>Ул. Левитана дом 37</v>
          </cell>
          <cell r="N226">
            <v>140405.92000000001</v>
          </cell>
          <cell r="O226">
            <v>128492.61</v>
          </cell>
        </row>
        <row r="227">
          <cell r="M227" t="str">
            <v>Ул. Левитана дом 39</v>
          </cell>
          <cell r="N227">
            <v>66619.839999999997</v>
          </cell>
          <cell r="O227">
            <v>76538.960000000006</v>
          </cell>
        </row>
        <row r="228">
          <cell r="M228" t="str">
            <v>Ул. Левитана дом 39/А</v>
          </cell>
          <cell r="N228">
            <v>87675.02</v>
          </cell>
          <cell r="O228">
            <v>114896.07</v>
          </cell>
        </row>
        <row r="229">
          <cell r="M229" t="str">
            <v>Ул. Левитана дом 41</v>
          </cell>
          <cell r="N229">
            <v>107015.84</v>
          </cell>
          <cell r="O229">
            <v>168007.1</v>
          </cell>
        </row>
        <row r="230">
          <cell r="M230" t="str">
            <v>Ул. Левитана дом 41/А</v>
          </cell>
          <cell r="N230">
            <v>117559.98</v>
          </cell>
          <cell r="O230">
            <v>98015.33</v>
          </cell>
        </row>
        <row r="231">
          <cell r="M231" t="str">
            <v>Ул. Левитана дом 41/Б</v>
          </cell>
          <cell r="N231">
            <v>98245.92</v>
          </cell>
          <cell r="O231">
            <v>85225.24</v>
          </cell>
        </row>
        <row r="232">
          <cell r="M232" t="str">
            <v>Ул. Левитана дом 43</v>
          </cell>
          <cell r="N232">
            <v>105049.78</v>
          </cell>
          <cell r="O232">
            <v>85777.54</v>
          </cell>
        </row>
        <row r="233">
          <cell r="M233" t="str">
            <v>Ул. Левитана дом 43/А</v>
          </cell>
          <cell r="N233">
            <v>107293.86</v>
          </cell>
          <cell r="O233">
            <v>100158.94</v>
          </cell>
        </row>
        <row r="234">
          <cell r="M234" t="str">
            <v>Ул. Мусы Джалиля дом 5</v>
          </cell>
          <cell r="N234">
            <v>156655.34</v>
          </cell>
          <cell r="O234">
            <v>167627.35</v>
          </cell>
        </row>
        <row r="235">
          <cell r="M235" t="str">
            <v>Ул. Новороссийская дом 4</v>
          </cell>
          <cell r="N235">
            <v>69436.98</v>
          </cell>
          <cell r="O235">
            <v>65793.919999999998</v>
          </cell>
        </row>
        <row r="236">
          <cell r="M236" t="str">
            <v>Ул. Новороссийская дом 6</v>
          </cell>
          <cell r="N236">
            <v>77210.62</v>
          </cell>
          <cell r="O236">
            <v>72407.53</v>
          </cell>
        </row>
        <row r="237">
          <cell r="M237" t="str">
            <v>Ул. Новороссийская дом 8</v>
          </cell>
          <cell r="N237">
            <v>98823.46</v>
          </cell>
          <cell r="O237">
            <v>104679.37</v>
          </cell>
        </row>
        <row r="238">
          <cell r="M238" t="str">
            <v>Ул. Новороссийская дом 10</v>
          </cell>
          <cell r="N238">
            <v>98125.22</v>
          </cell>
          <cell r="O238">
            <v>92458.15</v>
          </cell>
        </row>
        <row r="239">
          <cell r="M239" t="str">
            <v>Ул. Рядовая дом 9</v>
          </cell>
          <cell r="N239">
            <v>106993.66</v>
          </cell>
          <cell r="O239">
            <v>88325.5</v>
          </cell>
        </row>
        <row r="240">
          <cell r="M240" t="str">
            <v>Ул. Рядовая дом 10</v>
          </cell>
          <cell r="N240">
            <v>94079.64</v>
          </cell>
          <cell r="O240">
            <v>95763.75</v>
          </cell>
        </row>
        <row r="241">
          <cell r="M241" t="str">
            <v>Ул. Рядовая дом 11</v>
          </cell>
          <cell r="N241">
            <v>108381.18</v>
          </cell>
          <cell r="O241">
            <v>102972.16</v>
          </cell>
        </row>
        <row r="242">
          <cell r="M242" t="str">
            <v>Ул. Рядовая дом 12</v>
          </cell>
          <cell r="N242">
            <v>108485.66</v>
          </cell>
          <cell r="O242">
            <v>93167.78</v>
          </cell>
        </row>
        <row r="243">
          <cell r="M243" t="str">
            <v>Ул. Рядовая дом 13</v>
          </cell>
          <cell r="N243">
            <v>134313.66</v>
          </cell>
          <cell r="O243">
            <v>105321.4</v>
          </cell>
        </row>
        <row r="244">
          <cell r="M244" t="str">
            <v>Ул. Рядовая дом 15</v>
          </cell>
          <cell r="N244">
            <v>142760.44</v>
          </cell>
          <cell r="O244">
            <v>160284.21</v>
          </cell>
        </row>
        <row r="245">
          <cell r="M245" t="str">
            <v>Ул. Центральная дом 31/1</v>
          </cell>
          <cell r="N245">
            <v>35332.300000000003</v>
          </cell>
          <cell r="O245">
            <v>34214.589999999997</v>
          </cell>
        </row>
        <row r="246">
          <cell r="M246" t="str">
            <v>Ул. Центральная дом 38</v>
          </cell>
          <cell r="N246">
            <v>128842.28</v>
          </cell>
          <cell r="O246">
            <v>117440.49</v>
          </cell>
        </row>
        <row r="247">
          <cell r="M247" t="str">
            <v>Ул. Центральная дом 40</v>
          </cell>
          <cell r="N247">
            <v>123116.49</v>
          </cell>
          <cell r="O247">
            <v>116790.53</v>
          </cell>
        </row>
        <row r="248">
          <cell r="M248" t="str">
            <v>Ул. Центральная дом 42</v>
          </cell>
          <cell r="N248">
            <v>104669.58</v>
          </cell>
          <cell r="O248">
            <v>93129.05</v>
          </cell>
        </row>
        <row r="249">
          <cell r="M249" t="str">
            <v>Ул. Центральная дом 44</v>
          </cell>
          <cell r="N249">
            <v>122925.96</v>
          </cell>
          <cell r="O249">
            <v>113287.8</v>
          </cell>
        </row>
        <row r="250">
          <cell r="M250" t="str">
            <v>Ул. Центральная дом 51</v>
          </cell>
          <cell r="N250">
            <v>173187.62</v>
          </cell>
          <cell r="O250">
            <v>195026.83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theme="9" tint="0.39997558519241921"/>
  </sheetPr>
  <dimension ref="K1:O220"/>
  <sheetViews>
    <sheetView workbookViewId="0">
      <selection activeCell="A47" sqref="A47"/>
    </sheetView>
  </sheetViews>
  <sheetFormatPr defaultRowHeight="12.75" x14ac:dyDescent="0.2"/>
  <cols>
    <col min="1" max="11" width="4.5703125" style="1" customWidth="1"/>
    <col min="12" max="12" width="36.7109375" style="1" customWidth="1"/>
    <col min="13" max="13" width="39.85546875" style="1" customWidth="1"/>
    <col min="14" max="16384" width="9.140625" style="1"/>
  </cols>
  <sheetData>
    <row r="1" spans="11:15" x14ac:dyDescent="0.2">
      <c r="L1" t="s">
        <v>0</v>
      </c>
      <c r="M1" t="s">
        <v>1</v>
      </c>
      <c r="N1" s="1" t="b">
        <f t="shared" ref="N1:N64" si="0">L:L=M:M</f>
        <v>0</v>
      </c>
    </row>
    <row r="2" spans="11:15" x14ac:dyDescent="0.2">
      <c r="K2" s="1">
        <v>1</v>
      </c>
      <c r="L2" s="1" t="s">
        <v>2</v>
      </c>
      <c r="M2" s="1" t="s">
        <v>2</v>
      </c>
      <c r="N2" s="1" t="b">
        <f t="shared" si="0"/>
        <v>1</v>
      </c>
      <c r="O2" s="1" t="s">
        <v>221</v>
      </c>
    </row>
    <row r="3" spans="11:15" x14ac:dyDescent="0.2">
      <c r="K3" s="1">
        <v>2</v>
      </c>
      <c r="L3" s="1" t="s">
        <v>3</v>
      </c>
      <c r="M3" s="1" t="s">
        <v>3</v>
      </c>
      <c r="N3" s="1" t="b">
        <f t="shared" si="0"/>
        <v>1</v>
      </c>
      <c r="O3" s="1" t="s">
        <v>221</v>
      </c>
    </row>
    <row r="4" spans="11:15" x14ac:dyDescent="0.2">
      <c r="K4" s="1">
        <v>3</v>
      </c>
      <c r="L4" s="1" t="s">
        <v>4</v>
      </c>
      <c r="M4" s="1" t="s">
        <v>4</v>
      </c>
      <c r="N4" s="1" t="b">
        <f t="shared" si="0"/>
        <v>1</v>
      </c>
      <c r="O4" s="1" t="s">
        <v>221</v>
      </c>
    </row>
    <row r="5" spans="11:15" hidden="1" x14ac:dyDescent="0.2">
      <c r="K5" s="1">
        <v>4</v>
      </c>
      <c r="L5" s="1" t="s">
        <v>5</v>
      </c>
      <c r="M5" s="1" t="s">
        <v>5</v>
      </c>
      <c r="N5" s="1" t="b">
        <f t="shared" si="0"/>
        <v>1</v>
      </c>
      <c r="O5" s="1" t="s">
        <v>222</v>
      </c>
    </row>
    <row r="6" spans="11:15" hidden="1" x14ac:dyDescent="0.2">
      <c r="K6" s="1">
        <v>5</v>
      </c>
      <c r="L6" s="1" t="s">
        <v>6</v>
      </c>
      <c r="N6" s="1" t="b">
        <f t="shared" si="0"/>
        <v>0</v>
      </c>
      <c r="O6" s="1" t="s">
        <v>222</v>
      </c>
    </row>
    <row r="7" spans="11:15" hidden="1" x14ac:dyDescent="0.2">
      <c r="K7" s="1">
        <v>6</v>
      </c>
      <c r="L7" s="1" t="s">
        <v>7</v>
      </c>
      <c r="N7" s="1" t="b">
        <f t="shared" si="0"/>
        <v>0</v>
      </c>
      <c r="O7" s="1" t="s">
        <v>222</v>
      </c>
    </row>
    <row r="8" spans="11:15" hidden="1" x14ac:dyDescent="0.2">
      <c r="K8" s="1">
        <v>7</v>
      </c>
      <c r="L8" s="1" t="s">
        <v>8</v>
      </c>
      <c r="N8" s="1" t="b">
        <f t="shared" si="0"/>
        <v>0</v>
      </c>
      <c r="O8" s="1" t="s">
        <v>222</v>
      </c>
    </row>
    <row r="9" spans="11:15" hidden="1" x14ac:dyDescent="0.2">
      <c r="K9" s="1">
        <v>8</v>
      </c>
      <c r="L9" s="1" t="s">
        <v>9</v>
      </c>
      <c r="N9" s="1" t="b">
        <f t="shared" si="0"/>
        <v>0</v>
      </c>
      <c r="O9" s="1" t="s">
        <v>222</v>
      </c>
    </row>
    <row r="10" spans="11:15" hidden="1" x14ac:dyDescent="0.2">
      <c r="K10" s="1">
        <v>9</v>
      </c>
      <c r="L10" s="1" t="s">
        <v>10</v>
      </c>
      <c r="N10" s="1" t="b">
        <f t="shared" si="0"/>
        <v>0</v>
      </c>
      <c r="O10" s="1" t="s">
        <v>222</v>
      </c>
    </row>
    <row r="11" spans="11:15" hidden="1" x14ac:dyDescent="0.2">
      <c r="K11" s="1">
        <v>10</v>
      </c>
      <c r="L11" s="1" t="s">
        <v>11</v>
      </c>
      <c r="N11" s="1" t="b">
        <f t="shared" si="0"/>
        <v>0</v>
      </c>
      <c r="O11" s="1" t="s">
        <v>222</v>
      </c>
    </row>
    <row r="12" spans="11:15" hidden="1" x14ac:dyDescent="0.2">
      <c r="K12" s="1">
        <v>11</v>
      </c>
      <c r="L12" s="1" t="s">
        <v>12</v>
      </c>
      <c r="N12" s="1" t="b">
        <f t="shared" si="0"/>
        <v>0</v>
      </c>
      <c r="O12" s="1" t="s">
        <v>222</v>
      </c>
    </row>
    <row r="13" spans="11:15" hidden="1" x14ac:dyDescent="0.2">
      <c r="K13" s="1">
        <v>12</v>
      </c>
      <c r="L13" s="1" t="s">
        <v>13</v>
      </c>
      <c r="N13" s="1" t="b">
        <f t="shared" si="0"/>
        <v>0</v>
      </c>
      <c r="O13" s="1" t="s">
        <v>221</v>
      </c>
    </row>
    <row r="14" spans="11:15" hidden="1" x14ac:dyDescent="0.2">
      <c r="K14" s="1">
        <v>13</v>
      </c>
      <c r="L14" s="1" t="s">
        <v>14</v>
      </c>
      <c r="N14" s="1" t="b">
        <f t="shared" si="0"/>
        <v>0</v>
      </c>
      <c r="O14" s="1" t="s">
        <v>221</v>
      </c>
    </row>
    <row r="15" spans="11:15" hidden="1" x14ac:dyDescent="0.2">
      <c r="K15" s="1">
        <v>14</v>
      </c>
      <c r="L15" s="1" t="s">
        <v>15</v>
      </c>
      <c r="N15" s="1" t="b">
        <f t="shared" si="0"/>
        <v>0</v>
      </c>
      <c r="O15" s="1" t="s">
        <v>221</v>
      </c>
    </row>
    <row r="16" spans="11:15" hidden="1" x14ac:dyDescent="0.2">
      <c r="K16" s="1">
        <v>15</v>
      </c>
      <c r="L16" s="1" t="s">
        <v>16</v>
      </c>
      <c r="N16" s="1" t="b">
        <f t="shared" si="0"/>
        <v>0</v>
      </c>
      <c r="O16" s="1" t="s">
        <v>221</v>
      </c>
    </row>
    <row r="17" spans="11:15" hidden="1" x14ac:dyDescent="0.2">
      <c r="K17" s="1">
        <v>16</v>
      </c>
      <c r="L17" s="1" t="s">
        <v>17</v>
      </c>
      <c r="N17" s="1" t="b">
        <f t="shared" si="0"/>
        <v>0</v>
      </c>
      <c r="O17" s="1" t="s">
        <v>221</v>
      </c>
    </row>
    <row r="18" spans="11:15" hidden="1" x14ac:dyDescent="0.2">
      <c r="K18" s="1">
        <v>17</v>
      </c>
      <c r="L18" s="1" t="s">
        <v>18</v>
      </c>
      <c r="N18" s="1" t="b">
        <f t="shared" si="0"/>
        <v>0</v>
      </c>
      <c r="O18" s="1" t="s">
        <v>221</v>
      </c>
    </row>
    <row r="19" spans="11:15" x14ac:dyDescent="0.2">
      <c r="K19" s="1">
        <v>18</v>
      </c>
      <c r="L19" s="1" t="s">
        <v>19</v>
      </c>
      <c r="M19" s="1" t="s">
        <v>19</v>
      </c>
      <c r="N19" s="1" t="b">
        <f t="shared" si="0"/>
        <v>1</v>
      </c>
      <c r="O19" s="1" t="s">
        <v>221</v>
      </c>
    </row>
    <row r="20" spans="11:15" x14ac:dyDescent="0.2">
      <c r="K20" s="1">
        <v>19</v>
      </c>
      <c r="L20" s="1" t="s">
        <v>20</v>
      </c>
      <c r="M20" s="1" t="s">
        <v>20</v>
      </c>
      <c r="N20" s="1" t="b">
        <f t="shared" si="0"/>
        <v>1</v>
      </c>
      <c r="O20" s="1" t="s">
        <v>221</v>
      </c>
    </row>
    <row r="21" spans="11:15" x14ac:dyDescent="0.2">
      <c r="K21" s="1">
        <v>20</v>
      </c>
      <c r="L21" s="1" t="s">
        <v>21</v>
      </c>
      <c r="M21" s="1" t="s">
        <v>21</v>
      </c>
      <c r="N21" s="1" t="b">
        <f t="shared" si="0"/>
        <v>1</v>
      </c>
      <c r="O21" s="1" t="s">
        <v>221</v>
      </c>
    </row>
    <row r="22" spans="11:15" hidden="1" x14ac:dyDescent="0.2">
      <c r="K22" s="1">
        <v>21</v>
      </c>
      <c r="L22" s="1" t="s">
        <v>22</v>
      </c>
      <c r="N22" s="1" t="b">
        <f t="shared" si="0"/>
        <v>0</v>
      </c>
      <c r="O22" s="1" t="s">
        <v>221</v>
      </c>
    </row>
    <row r="23" spans="11:15" x14ac:dyDescent="0.2">
      <c r="K23" s="1">
        <v>22</v>
      </c>
      <c r="L23" s="1" t="s">
        <v>23</v>
      </c>
      <c r="M23" s="1" t="s">
        <v>23</v>
      </c>
      <c r="N23" s="1" t="b">
        <f t="shared" si="0"/>
        <v>1</v>
      </c>
      <c r="O23" s="1" t="s">
        <v>221</v>
      </c>
    </row>
    <row r="24" spans="11:15" x14ac:dyDescent="0.2">
      <c r="K24" s="1">
        <v>23</v>
      </c>
      <c r="L24" s="1" t="s">
        <v>24</v>
      </c>
      <c r="M24" s="1" t="s">
        <v>24</v>
      </c>
      <c r="N24" s="1" t="b">
        <f t="shared" si="0"/>
        <v>1</v>
      </c>
      <c r="O24" s="1" t="s">
        <v>221</v>
      </c>
    </row>
    <row r="25" spans="11:15" hidden="1" x14ac:dyDescent="0.2">
      <c r="K25" s="1">
        <v>24</v>
      </c>
      <c r="L25" s="1" t="s">
        <v>25</v>
      </c>
      <c r="N25" s="1" t="b">
        <f t="shared" si="0"/>
        <v>0</v>
      </c>
      <c r="O25" s="1" t="s">
        <v>221</v>
      </c>
    </row>
    <row r="26" spans="11:15" x14ac:dyDescent="0.2">
      <c r="K26" s="1">
        <v>25</v>
      </c>
      <c r="L26" s="1" t="s">
        <v>26</v>
      </c>
      <c r="M26" s="1" t="s">
        <v>26</v>
      </c>
      <c r="N26" s="1" t="b">
        <f t="shared" si="0"/>
        <v>1</v>
      </c>
      <c r="O26" s="1" t="s">
        <v>221</v>
      </c>
    </row>
    <row r="27" spans="11:15" hidden="1" x14ac:dyDescent="0.2">
      <c r="K27" s="1">
        <v>26</v>
      </c>
      <c r="L27" s="1" t="s">
        <v>27</v>
      </c>
      <c r="M27" s="1" t="s">
        <v>27</v>
      </c>
      <c r="N27" s="1" t="b">
        <f t="shared" si="0"/>
        <v>1</v>
      </c>
      <c r="O27" s="1" t="s">
        <v>222</v>
      </c>
    </row>
    <row r="28" spans="11:15" x14ac:dyDescent="0.2">
      <c r="K28" s="1">
        <v>27</v>
      </c>
      <c r="L28" s="1" t="s">
        <v>28</v>
      </c>
      <c r="M28" s="1" t="s">
        <v>28</v>
      </c>
      <c r="N28" s="1" t="b">
        <f t="shared" si="0"/>
        <v>1</v>
      </c>
      <c r="O28" s="1" t="s">
        <v>221</v>
      </c>
    </row>
    <row r="29" spans="11:15" x14ac:dyDescent="0.2">
      <c r="K29" s="1">
        <v>28</v>
      </c>
      <c r="L29" s="1" t="s">
        <v>29</v>
      </c>
      <c r="M29" s="1" t="s">
        <v>29</v>
      </c>
      <c r="N29" s="1" t="b">
        <f t="shared" si="0"/>
        <v>1</v>
      </c>
      <c r="O29" s="1" t="s">
        <v>221</v>
      </c>
    </row>
    <row r="30" spans="11:15" x14ac:dyDescent="0.2">
      <c r="K30" s="1">
        <v>29</v>
      </c>
      <c r="L30" s="1" t="s">
        <v>30</v>
      </c>
      <c r="M30" s="1" t="s">
        <v>30</v>
      </c>
      <c r="N30" s="1" t="b">
        <f t="shared" si="0"/>
        <v>1</v>
      </c>
      <c r="O30" s="1" t="s">
        <v>221</v>
      </c>
    </row>
    <row r="31" spans="11:15" hidden="1" x14ac:dyDescent="0.2">
      <c r="K31" s="1">
        <v>30</v>
      </c>
      <c r="L31" s="1" t="s">
        <v>31</v>
      </c>
      <c r="M31" s="1" t="s">
        <v>31</v>
      </c>
      <c r="N31" s="1" t="b">
        <f t="shared" si="0"/>
        <v>1</v>
      </c>
      <c r="O31" s="1" t="s">
        <v>222</v>
      </c>
    </row>
    <row r="32" spans="11:15" x14ac:dyDescent="0.2">
      <c r="K32" s="1">
        <v>31</v>
      </c>
      <c r="L32" s="1" t="s">
        <v>32</v>
      </c>
      <c r="M32" s="1" t="s">
        <v>32</v>
      </c>
      <c r="N32" s="1" t="b">
        <f t="shared" si="0"/>
        <v>1</v>
      </c>
      <c r="O32" s="1" t="s">
        <v>221</v>
      </c>
    </row>
    <row r="33" spans="11:15" x14ac:dyDescent="0.2">
      <c r="K33" s="1">
        <v>32</v>
      </c>
      <c r="L33" s="1" t="s">
        <v>33</v>
      </c>
      <c r="M33" s="1" t="s">
        <v>33</v>
      </c>
      <c r="N33" s="1" t="b">
        <f t="shared" si="0"/>
        <v>1</v>
      </c>
      <c r="O33" s="1" t="s">
        <v>221</v>
      </c>
    </row>
    <row r="34" spans="11:15" x14ac:dyDescent="0.2">
      <c r="K34" s="1">
        <v>33</v>
      </c>
      <c r="L34" s="1" t="s">
        <v>34</v>
      </c>
      <c r="M34" s="1" t="s">
        <v>34</v>
      </c>
      <c r="N34" s="1" t="b">
        <f t="shared" si="0"/>
        <v>1</v>
      </c>
      <c r="O34" s="1" t="s">
        <v>221</v>
      </c>
    </row>
    <row r="35" spans="11:15" x14ac:dyDescent="0.2">
      <c r="K35" s="1">
        <v>34</v>
      </c>
      <c r="L35" s="1" t="s">
        <v>35</v>
      </c>
      <c r="M35" s="1" t="s">
        <v>35</v>
      </c>
      <c r="N35" s="1" t="b">
        <f t="shared" si="0"/>
        <v>1</v>
      </c>
      <c r="O35" s="1" t="s">
        <v>221</v>
      </c>
    </row>
    <row r="36" spans="11:15" x14ac:dyDescent="0.2">
      <c r="K36" s="1">
        <v>35</v>
      </c>
      <c r="L36" s="1" t="s">
        <v>36</v>
      </c>
      <c r="M36" s="1" t="s">
        <v>36</v>
      </c>
      <c r="N36" s="1" t="b">
        <f t="shared" si="0"/>
        <v>1</v>
      </c>
      <c r="O36" s="1" t="s">
        <v>221</v>
      </c>
    </row>
    <row r="37" spans="11:15" hidden="1" x14ac:dyDescent="0.2">
      <c r="K37" s="1">
        <v>36</v>
      </c>
      <c r="L37" s="1" t="s">
        <v>37</v>
      </c>
      <c r="N37" s="1" t="b">
        <f t="shared" si="0"/>
        <v>0</v>
      </c>
      <c r="O37" s="1" t="s">
        <v>222</v>
      </c>
    </row>
    <row r="38" spans="11:15" hidden="1" x14ac:dyDescent="0.2">
      <c r="K38" s="1">
        <v>37</v>
      </c>
      <c r="L38" s="1" t="s">
        <v>38</v>
      </c>
      <c r="M38" s="1" t="s">
        <v>38</v>
      </c>
      <c r="N38" s="1" t="b">
        <f t="shared" si="0"/>
        <v>1</v>
      </c>
      <c r="O38" s="1" t="s">
        <v>222</v>
      </c>
    </row>
    <row r="39" spans="11:15" hidden="1" x14ac:dyDescent="0.2">
      <c r="K39" s="1">
        <v>38</v>
      </c>
      <c r="L39" s="1" t="s">
        <v>39</v>
      </c>
      <c r="N39" s="1" t="b">
        <f t="shared" si="0"/>
        <v>0</v>
      </c>
      <c r="O39" s="1" t="s">
        <v>222</v>
      </c>
    </row>
    <row r="40" spans="11:15" hidden="1" x14ac:dyDescent="0.2">
      <c r="K40" s="1">
        <v>39</v>
      </c>
      <c r="L40" s="1" t="s">
        <v>40</v>
      </c>
      <c r="N40" s="1" t="b">
        <f t="shared" si="0"/>
        <v>0</v>
      </c>
      <c r="O40" s="1" t="s">
        <v>221</v>
      </c>
    </row>
    <row r="41" spans="11:15" hidden="1" x14ac:dyDescent="0.2">
      <c r="K41" s="1">
        <v>40</v>
      </c>
      <c r="L41" s="1" t="s">
        <v>41</v>
      </c>
      <c r="N41" s="1" t="b">
        <f t="shared" si="0"/>
        <v>0</v>
      </c>
      <c r="O41" s="1" t="s">
        <v>222</v>
      </c>
    </row>
    <row r="42" spans="11:15" x14ac:dyDescent="0.2">
      <c r="K42" s="1">
        <v>41</v>
      </c>
      <c r="L42" s="1" t="s">
        <v>42</v>
      </c>
      <c r="M42" s="1" t="s">
        <v>42</v>
      </c>
      <c r="N42" s="1" t="b">
        <f t="shared" si="0"/>
        <v>1</v>
      </c>
      <c r="O42" s="1" t="s">
        <v>221</v>
      </c>
    </row>
    <row r="43" spans="11:15" hidden="1" x14ac:dyDescent="0.2">
      <c r="K43" s="1">
        <v>42</v>
      </c>
      <c r="L43" s="1" t="s">
        <v>43</v>
      </c>
      <c r="N43" s="1" t="b">
        <f t="shared" si="0"/>
        <v>0</v>
      </c>
      <c r="O43" s="1" t="s">
        <v>221</v>
      </c>
    </row>
    <row r="44" spans="11:15" x14ac:dyDescent="0.2">
      <c r="K44" s="1">
        <v>43</v>
      </c>
      <c r="L44" s="1" t="s">
        <v>44</v>
      </c>
      <c r="M44" s="1" t="s">
        <v>44</v>
      </c>
      <c r="N44" s="1" t="b">
        <f t="shared" si="0"/>
        <v>1</v>
      </c>
      <c r="O44" s="1" t="s">
        <v>221</v>
      </c>
    </row>
    <row r="45" spans="11:15" hidden="1" x14ac:dyDescent="0.2">
      <c r="K45" s="1">
        <v>44</v>
      </c>
      <c r="L45" s="1" t="s">
        <v>45</v>
      </c>
      <c r="N45" s="1" t="b">
        <f t="shared" si="0"/>
        <v>0</v>
      </c>
      <c r="O45" s="1" t="s">
        <v>222</v>
      </c>
    </row>
    <row r="46" spans="11:15" hidden="1" x14ac:dyDescent="0.2">
      <c r="K46" s="1">
        <v>45</v>
      </c>
      <c r="L46" s="1" t="s">
        <v>46</v>
      </c>
      <c r="M46" s="1" t="s">
        <v>46</v>
      </c>
      <c r="N46" s="1" t="b">
        <f t="shared" si="0"/>
        <v>1</v>
      </c>
      <c r="O46" s="1" t="s">
        <v>222</v>
      </c>
    </row>
    <row r="47" spans="11:15" hidden="1" x14ac:dyDescent="0.2">
      <c r="K47" s="1">
        <v>46</v>
      </c>
      <c r="L47" s="1" t="s">
        <v>47</v>
      </c>
      <c r="N47" s="1" t="b">
        <f t="shared" si="0"/>
        <v>0</v>
      </c>
      <c r="O47" s="1" t="s">
        <v>221</v>
      </c>
    </row>
    <row r="48" spans="11:15" hidden="1" x14ac:dyDescent="0.2">
      <c r="K48" s="1">
        <v>47</v>
      </c>
      <c r="L48" s="1" t="s">
        <v>48</v>
      </c>
      <c r="N48" s="1" t="b">
        <f t="shared" si="0"/>
        <v>0</v>
      </c>
      <c r="O48" s="1" t="s">
        <v>222</v>
      </c>
    </row>
    <row r="49" spans="11:15" hidden="1" x14ac:dyDescent="0.2">
      <c r="K49" s="1">
        <v>48</v>
      </c>
      <c r="L49" s="1" t="s">
        <v>49</v>
      </c>
      <c r="N49" s="1" t="b">
        <f t="shared" si="0"/>
        <v>0</v>
      </c>
      <c r="O49" s="1" t="s">
        <v>222</v>
      </c>
    </row>
    <row r="50" spans="11:15" hidden="1" x14ac:dyDescent="0.2">
      <c r="K50" s="1">
        <v>49</v>
      </c>
      <c r="L50" s="1" t="s">
        <v>50</v>
      </c>
      <c r="N50" s="1" t="b">
        <f t="shared" si="0"/>
        <v>0</v>
      </c>
      <c r="O50" s="1" t="s">
        <v>222</v>
      </c>
    </row>
    <row r="51" spans="11:15" hidden="1" x14ac:dyDescent="0.2">
      <c r="K51" s="1">
        <v>50</v>
      </c>
      <c r="L51" s="1" t="s">
        <v>51</v>
      </c>
      <c r="M51" s="1" t="s">
        <v>51</v>
      </c>
      <c r="N51" s="1" t="b">
        <f t="shared" si="0"/>
        <v>1</v>
      </c>
      <c r="O51" s="1" t="s">
        <v>222</v>
      </c>
    </row>
    <row r="52" spans="11:15" hidden="1" x14ac:dyDescent="0.2">
      <c r="K52" s="1">
        <v>51</v>
      </c>
      <c r="L52" s="1" t="s">
        <v>52</v>
      </c>
      <c r="N52" s="1" t="b">
        <f t="shared" si="0"/>
        <v>0</v>
      </c>
      <c r="O52" s="1" t="s">
        <v>222</v>
      </c>
    </row>
    <row r="53" spans="11:15" hidden="1" x14ac:dyDescent="0.2">
      <c r="K53" s="1">
        <v>52</v>
      </c>
      <c r="L53" s="1" t="s">
        <v>53</v>
      </c>
      <c r="N53" s="1" t="b">
        <f t="shared" si="0"/>
        <v>0</v>
      </c>
      <c r="O53" s="1" t="s">
        <v>222</v>
      </c>
    </row>
    <row r="54" spans="11:15" hidden="1" x14ac:dyDescent="0.2">
      <c r="K54" s="1">
        <v>53</v>
      </c>
      <c r="L54" s="1" t="s">
        <v>54</v>
      </c>
      <c r="N54" s="1" t="b">
        <f t="shared" si="0"/>
        <v>0</v>
      </c>
      <c r="O54" s="1" t="s">
        <v>222</v>
      </c>
    </row>
    <row r="55" spans="11:15" hidden="1" x14ac:dyDescent="0.2">
      <c r="K55" s="1">
        <v>54</v>
      </c>
      <c r="L55" s="1" t="s">
        <v>55</v>
      </c>
      <c r="N55" s="1" t="b">
        <f t="shared" si="0"/>
        <v>0</v>
      </c>
      <c r="O55" s="1" t="s">
        <v>222</v>
      </c>
    </row>
    <row r="56" spans="11:15" hidden="1" x14ac:dyDescent="0.2">
      <c r="K56" s="1">
        <v>55</v>
      </c>
      <c r="L56" s="1" t="s">
        <v>56</v>
      </c>
      <c r="M56" s="1" t="s">
        <v>56</v>
      </c>
      <c r="N56" s="1" t="b">
        <f t="shared" si="0"/>
        <v>1</v>
      </c>
      <c r="O56" s="1" t="s">
        <v>222</v>
      </c>
    </row>
    <row r="57" spans="11:15" x14ac:dyDescent="0.2">
      <c r="K57" s="1">
        <v>56</v>
      </c>
      <c r="L57" s="1" t="s">
        <v>57</v>
      </c>
      <c r="M57" s="1" t="s">
        <v>57</v>
      </c>
      <c r="N57" s="1" t="b">
        <f t="shared" si="0"/>
        <v>1</v>
      </c>
      <c r="O57" s="1" t="s">
        <v>221</v>
      </c>
    </row>
    <row r="58" spans="11:15" hidden="1" x14ac:dyDescent="0.2">
      <c r="K58" s="1">
        <v>57</v>
      </c>
      <c r="L58" s="1" t="s">
        <v>58</v>
      </c>
      <c r="N58" s="1" t="b">
        <f t="shared" si="0"/>
        <v>0</v>
      </c>
      <c r="O58" s="1" t="s">
        <v>222</v>
      </c>
    </row>
    <row r="59" spans="11:15" x14ac:dyDescent="0.2">
      <c r="K59" s="1">
        <v>58</v>
      </c>
      <c r="L59" s="1" t="s">
        <v>59</v>
      </c>
      <c r="M59" s="1" t="s">
        <v>59</v>
      </c>
      <c r="N59" s="1" t="b">
        <f t="shared" si="0"/>
        <v>1</v>
      </c>
      <c r="O59" s="1" t="s">
        <v>221</v>
      </c>
    </row>
    <row r="60" spans="11:15" hidden="1" x14ac:dyDescent="0.2">
      <c r="K60" s="1">
        <v>59</v>
      </c>
      <c r="L60" s="1" t="s">
        <v>60</v>
      </c>
      <c r="M60" s="1" t="s">
        <v>60</v>
      </c>
      <c r="N60" s="1" t="b">
        <f t="shared" si="0"/>
        <v>1</v>
      </c>
      <c r="O60" s="1" t="s">
        <v>222</v>
      </c>
    </row>
    <row r="61" spans="11:15" hidden="1" x14ac:dyDescent="0.2">
      <c r="K61" s="1">
        <v>60</v>
      </c>
      <c r="L61" s="1" t="s">
        <v>61</v>
      </c>
      <c r="N61" s="1" t="b">
        <f t="shared" si="0"/>
        <v>0</v>
      </c>
      <c r="O61" s="1" t="s">
        <v>222</v>
      </c>
    </row>
    <row r="62" spans="11:15" hidden="1" x14ac:dyDescent="0.2">
      <c r="K62" s="1">
        <v>61</v>
      </c>
      <c r="L62" s="1" t="s">
        <v>62</v>
      </c>
      <c r="N62" s="1" t="b">
        <f t="shared" si="0"/>
        <v>0</v>
      </c>
      <c r="O62" s="1" t="s">
        <v>222</v>
      </c>
    </row>
    <row r="63" spans="11:15" hidden="1" x14ac:dyDescent="0.2">
      <c r="K63" s="1">
        <v>62</v>
      </c>
      <c r="L63" s="1" t="s">
        <v>63</v>
      </c>
      <c r="M63" s="1" t="s">
        <v>63</v>
      </c>
      <c r="N63" s="1" t="b">
        <f t="shared" si="0"/>
        <v>1</v>
      </c>
      <c r="O63" s="1" t="s">
        <v>222</v>
      </c>
    </row>
    <row r="64" spans="11:15" hidden="1" x14ac:dyDescent="0.2">
      <c r="K64" s="1">
        <v>63</v>
      </c>
      <c r="L64" s="1" t="s">
        <v>64</v>
      </c>
      <c r="M64" s="1" t="s">
        <v>64</v>
      </c>
      <c r="N64" s="1" t="b">
        <f t="shared" si="0"/>
        <v>1</v>
      </c>
      <c r="O64" s="1" t="s">
        <v>222</v>
      </c>
    </row>
    <row r="65" spans="11:15" hidden="1" x14ac:dyDescent="0.2">
      <c r="K65" s="1">
        <v>64</v>
      </c>
      <c r="L65" s="1" t="s">
        <v>65</v>
      </c>
      <c r="M65" s="1" t="s">
        <v>65</v>
      </c>
      <c r="N65" s="1" t="b">
        <f t="shared" ref="N65:N128" si="1">L:L=M:M</f>
        <v>1</v>
      </c>
      <c r="O65" s="1" t="s">
        <v>222</v>
      </c>
    </row>
    <row r="66" spans="11:15" hidden="1" x14ac:dyDescent="0.2">
      <c r="K66" s="1">
        <v>65</v>
      </c>
      <c r="L66" s="1" t="s">
        <v>66</v>
      </c>
      <c r="M66" s="1" t="s">
        <v>66</v>
      </c>
      <c r="N66" s="1" t="b">
        <f t="shared" si="1"/>
        <v>1</v>
      </c>
      <c r="O66" s="1" t="s">
        <v>222</v>
      </c>
    </row>
    <row r="67" spans="11:15" hidden="1" x14ac:dyDescent="0.2">
      <c r="K67" s="1">
        <v>66</v>
      </c>
      <c r="L67" s="1" t="s">
        <v>67</v>
      </c>
      <c r="N67" s="1" t="b">
        <f t="shared" si="1"/>
        <v>0</v>
      </c>
      <c r="O67" s="1" t="s">
        <v>222</v>
      </c>
    </row>
    <row r="68" spans="11:15" hidden="1" x14ac:dyDescent="0.2">
      <c r="K68" s="1">
        <v>67</v>
      </c>
      <c r="L68" s="1" t="s">
        <v>68</v>
      </c>
      <c r="N68" s="1" t="b">
        <f t="shared" si="1"/>
        <v>0</v>
      </c>
      <c r="O68" s="1" t="s">
        <v>222</v>
      </c>
    </row>
    <row r="69" spans="11:15" hidden="1" x14ac:dyDescent="0.2">
      <c r="K69" s="1">
        <v>68</v>
      </c>
      <c r="L69" s="1" t="s">
        <v>69</v>
      </c>
      <c r="N69" s="1" t="b">
        <f t="shared" si="1"/>
        <v>0</v>
      </c>
      <c r="O69" s="1" t="s">
        <v>221</v>
      </c>
    </row>
    <row r="70" spans="11:15" hidden="1" x14ac:dyDescent="0.2">
      <c r="K70" s="1">
        <v>69</v>
      </c>
      <c r="L70" s="1" t="s">
        <v>70</v>
      </c>
      <c r="N70" s="1" t="b">
        <f t="shared" si="1"/>
        <v>0</v>
      </c>
      <c r="O70" s="1" t="s">
        <v>221</v>
      </c>
    </row>
    <row r="71" spans="11:15" hidden="1" x14ac:dyDescent="0.2">
      <c r="K71" s="1">
        <v>70</v>
      </c>
      <c r="L71" s="1" t="s">
        <v>71</v>
      </c>
      <c r="N71" s="1" t="b">
        <f t="shared" si="1"/>
        <v>0</v>
      </c>
      <c r="O71" s="1" t="s">
        <v>222</v>
      </c>
    </row>
    <row r="72" spans="11:15" hidden="1" x14ac:dyDescent="0.2">
      <c r="K72" s="1">
        <v>71</v>
      </c>
      <c r="L72" s="1" t="s">
        <v>72</v>
      </c>
      <c r="N72" s="1" t="b">
        <f t="shared" si="1"/>
        <v>0</v>
      </c>
      <c r="O72" s="1" t="s">
        <v>221</v>
      </c>
    </row>
    <row r="73" spans="11:15" hidden="1" x14ac:dyDescent="0.2">
      <c r="K73" s="1">
        <v>72</v>
      </c>
      <c r="L73" s="1" t="s">
        <v>73</v>
      </c>
      <c r="N73" s="1" t="b">
        <f t="shared" si="1"/>
        <v>0</v>
      </c>
      <c r="O73" s="1" t="s">
        <v>222</v>
      </c>
    </row>
    <row r="74" spans="11:15" hidden="1" x14ac:dyDescent="0.2">
      <c r="K74" s="1">
        <v>73</v>
      </c>
      <c r="L74" s="1" t="s">
        <v>74</v>
      </c>
      <c r="N74" s="1" t="b">
        <f t="shared" si="1"/>
        <v>0</v>
      </c>
      <c r="O74" s="1" t="s">
        <v>222</v>
      </c>
    </row>
    <row r="75" spans="11:15" hidden="1" x14ac:dyDescent="0.2">
      <c r="K75" s="1">
        <v>74</v>
      </c>
      <c r="L75" s="1" t="s">
        <v>75</v>
      </c>
      <c r="N75" s="1" t="b">
        <f t="shared" si="1"/>
        <v>0</v>
      </c>
      <c r="O75" s="1" t="s">
        <v>222</v>
      </c>
    </row>
    <row r="76" spans="11:15" hidden="1" x14ac:dyDescent="0.2">
      <c r="K76" s="1">
        <v>75</v>
      </c>
      <c r="L76" s="1" t="s">
        <v>76</v>
      </c>
      <c r="N76" s="1" t="b">
        <f t="shared" si="1"/>
        <v>0</v>
      </c>
      <c r="O76" s="1" t="s">
        <v>222</v>
      </c>
    </row>
    <row r="77" spans="11:15" x14ac:dyDescent="0.2">
      <c r="K77" s="1">
        <v>76</v>
      </c>
      <c r="L77" s="1" t="s">
        <v>77</v>
      </c>
      <c r="M77" s="1" t="s">
        <v>77</v>
      </c>
      <c r="N77" s="1" t="b">
        <f t="shared" si="1"/>
        <v>1</v>
      </c>
      <c r="O77" s="1" t="s">
        <v>221</v>
      </c>
    </row>
    <row r="78" spans="11:15" x14ac:dyDescent="0.2">
      <c r="K78" s="1">
        <v>77</v>
      </c>
      <c r="L78" s="1" t="s">
        <v>78</v>
      </c>
      <c r="M78" s="1" t="s">
        <v>78</v>
      </c>
      <c r="N78" s="1" t="b">
        <f t="shared" si="1"/>
        <v>1</v>
      </c>
      <c r="O78" s="1" t="s">
        <v>221</v>
      </c>
    </row>
    <row r="79" spans="11:15" x14ac:dyDescent="0.2">
      <c r="K79" s="1">
        <v>78</v>
      </c>
      <c r="L79" s="1" t="s">
        <v>79</v>
      </c>
      <c r="M79" s="1" t="s">
        <v>79</v>
      </c>
      <c r="N79" s="1" t="b">
        <f t="shared" si="1"/>
        <v>1</v>
      </c>
      <c r="O79" s="1" t="s">
        <v>221</v>
      </c>
    </row>
    <row r="80" spans="11:15" x14ac:dyDescent="0.2">
      <c r="K80" s="1">
        <v>79</v>
      </c>
      <c r="L80" s="1" t="s">
        <v>80</v>
      </c>
      <c r="M80" s="1" t="s">
        <v>80</v>
      </c>
      <c r="N80" s="1" t="b">
        <f t="shared" si="1"/>
        <v>1</v>
      </c>
      <c r="O80" s="1" t="s">
        <v>221</v>
      </c>
    </row>
    <row r="81" spans="11:15" x14ac:dyDescent="0.2">
      <c r="K81" s="1">
        <v>80</v>
      </c>
      <c r="L81" s="1" t="s">
        <v>81</v>
      </c>
      <c r="M81" s="1" t="s">
        <v>81</v>
      </c>
      <c r="N81" s="1" t="b">
        <f t="shared" si="1"/>
        <v>1</v>
      </c>
      <c r="O81" s="1" t="s">
        <v>221</v>
      </c>
    </row>
    <row r="82" spans="11:15" x14ac:dyDescent="0.2">
      <c r="K82" s="1">
        <v>81</v>
      </c>
      <c r="L82" s="1" t="s">
        <v>82</v>
      </c>
      <c r="M82" s="1" t="s">
        <v>82</v>
      </c>
      <c r="N82" s="1" t="b">
        <f t="shared" si="1"/>
        <v>1</v>
      </c>
      <c r="O82" s="1" t="s">
        <v>221</v>
      </c>
    </row>
    <row r="83" spans="11:15" x14ac:dyDescent="0.2">
      <c r="K83" s="1">
        <v>82</v>
      </c>
      <c r="L83" s="1" t="s">
        <v>83</v>
      </c>
      <c r="M83" s="1" t="s">
        <v>83</v>
      </c>
      <c r="N83" s="1" t="b">
        <f t="shared" si="1"/>
        <v>1</v>
      </c>
      <c r="O83" s="1" t="s">
        <v>221</v>
      </c>
    </row>
    <row r="84" spans="11:15" x14ac:dyDescent="0.2">
      <c r="K84" s="1">
        <v>83</v>
      </c>
      <c r="L84" s="1" t="s">
        <v>84</v>
      </c>
      <c r="M84" s="1" t="s">
        <v>84</v>
      </c>
      <c r="N84" s="1" t="b">
        <f t="shared" si="1"/>
        <v>1</v>
      </c>
      <c r="O84" s="1" t="s">
        <v>221</v>
      </c>
    </row>
    <row r="85" spans="11:15" x14ac:dyDescent="0.2">
      <c r="K85" s="1">
        <v>84</v>
      </c>
      <c r="L85" s="1" t="s">
        <v>85</v>
      </c>
      <c r="M85" s="1" t="s">
        <v>85</v>
      </c>
      <c r="N85" s="1" t="b">
        <f t="shared" si="1"/>
        <v>1</v>
      </c>
      <c r="O85" s="1" t="s">
        <v>221</v>
      </c>
    </row>
    <row r="86" spans="11:15" x14ac:dyDescent="0.2">
      <c r="K86" s="1">
        <v>85</v>
      </c>
      <c r="L86" s="1" t="s">
        <v>86</v>
      </c>
      <c r="M86" s="1" t="s">
        <v>86</v>
      </c>
      <c r="N86" s="1" t="b">
        <f t="shared" si="1"/>
        <v>1</v>
      </c>
      <c r="O86" s="1" t="s">
        <v>221</v>
      </c>
    </row>
    <row r="87" spans="11:15" x14ac:dyDescent="0.2">
      <c r="K87" s="1">
        <v>86</v>
      </c>
      <c r="L87" s="1" t="s">
        <v>87</v>
      </c>
      <c r="M87" s="1" t="s">
        <v>87</v>
      </c>
      <c r="N87" s="1" t="b">
        <f t="shared" si="1"/>
        <v>1</v>
      </c>
      <c r="O87" s="1" t="s">
        <v>221</v>
      </c>
    </row>
    <row r="88" spans="11:15" hidden="1" x14ac:dyDescent="0.2">
      <c r="K88" s="1">
        <v>87</v>
      </c>
      <c r="L88" s="1" t="s">
        <v>88</v>
      </c>
      <c r="N88" s="1" t="b">
        <f t="shared" si="1"/>
        <v>0</v>
      </c>
      <c r="O88" s="1" t="s">
        <v>221</v>
      </c>
    </row>
    <row r="89" spans="11:15" hidden="1" x14ac:dyDescent="0.2">
      <c r="K89" s="1">
        <v>88</v>
      </c>
      <c r="L89" s="1" t="s">
        <v>89</v>
      </c>
      <c r="N89" s="1" t="b">
        <f t="shared" si="1"/>
        <v>0</v>
      </c>
      <c r="O89" s="1" t="s">
        <v>221</v>
      </c>
    </row>
    <row r="90" spans="11:15" hidden="1" x14ac:dyDescent="0.2">
      <c r="K90" s="1">
        <v>89</v>
      </c>
      <c r="L90" s="1" t="s">
        <v>90</v>
      </c>
      <c r="N90" s="1" t="b">
        <f t="shared" si="1"/>
        <v>0</v>
      </c>
      <c r="O90" s="1" t="s">
        <v>221</v>
      </c>
    </row>
    <row r="91" spans="11:15" x14ac:dyDescent="0.2">
      <c r="K91" s="1">
        <v>90</v>
      </c>
      <c r="L91" s="1" t="s">
        <v>91</v>
      </c>
      <c r="M91" s="1" t="s">
        <v>91</v>
      </c>
      <c r="N91" s="1" t="b">
        <f t="shared" si="1"/>
        <v>1</v>
      </c>
      <c r="O91" s="1" t="s">
        <v>221</v>
      </c>
    </row>
    <row r="92" spans="11:15" x14ac:dyDescent="0.2">
      <c r="K92" s="1">
        <v>91</v>
      </c>
      <c r="L92" s="1" t="s">
        <v>92</v>
      </c>
      <c r="M92" s="1" t="s">
        <v>92</v>
      </c>
      <c r="N92" s="1" t="b">
        <f t="shared" si="1"/>
        <v>1</v>
      </c>
      <c r="O92" s="1" t="s">
        <v>221</v>
      </c>
    </row>
    <row r="93" spans="11:15" hidden="1" x14ac:dyDescent="0.2">
      <c r="K93" s="1">
        <v>92</v>
      </c>
      <c r="L93" s="1" t="s">
        <v>93</v>
      </c>
      <c r="N93" s="1" t="b">
        <f t="shared" si="1"/>
        <v>0</v>
      </c>
      <c r="O93" s="1" t="s">
        <v>221</v>
      </c>
    </row>
    <row r="94" spans="11:15" x14ac:dyDescent="0.2">
      <c r="K94" s="1">
        <v>93</v>
      </c>
      <c r="L94" s="1" t="s">
        <v>94</v>
      </c>
      <c r="M94" s="1" t="s">
        <v>94</v>
      </c>
      <c r="N94" s="1" t="b">
        <f t="shared" si="1"/>
        <v>1</v>
      </c>
      <c r="O94" s="1" t="s">
        <v>221</v>
      </c>
    </row>
    <row r="95" spans="11:15" hidden="1" x14ac:dyDescent="0.2">
      <c r="K95" s="1">
        <v>94</v>
      </c>
      <c r="L95" s="1" t="s">
        <v>95</v>
      </c>
      <c r="N95" s="1" t="b">
        <f t="shared" si="1"/>
        <v>0</v>
      </c>
      <c r="O95" s="1" t="s">
        <v>222</v>
      </c>
    </row>
    <row r="96" spans="11:15" hidden="1" x14ac:dyDescent="0.2">
      <c r="K96" s="1">
        <v>95</v>
      </c>
      <c r="L96" s="1" t="s">
        <v>96</v>
      </c>
      <c r="N96" s="1" t="b">
        <f t="shared" si="1"/>
        <v>0</v>
      </c>
      <c r="O96" s="1" t="s">
        <v>222</v>
      </c>
    </row>
    <row r="97" spans="11:15" hidden="1" x14ac:dyDescent="0.2">
      <c r="K97" s="1">
        <v>96</v>
      </c>
      <c r="L97" s="1" t="s">
        <v>97</v>
      </c>
      <c r="N97" s="1" t="b">
        <f t="shared" si="1"/>
        <v>0</v>
      </c>
      <c r="O97" s="1" t="s">
        <v>222</v>
      </c>
    </row>
    <row r="98" spans="11:15" hidden="1" x14ac:dyDescent="0.2">
      <c r="K98" s="1">
        <v>97</v>
      </c>
      <c r="L98" s="1" t="s">
        <v>98</v>
      </c>
      <c r="M98" s="1" t="s">
        <v>98</v>
      </c>
      <c r="N98" s="1" t="b">
        <f t="shared" si="1"/>
        <v>1</v>
      </c>
      <c r="O98" s="1" t="s">
        <v>222</v>
      </c>
    </row>
    <row r="99" spans="11:15" hidden="1" x14ac:dyDescent="0.2">
      <c r="K99" s="1">
        <v>98</v>
      </c>
      <c r="L99" s="1" t="s">
        <v>99</v>
      </c>
      <c r="N99" s="1" t="b">
        <f t="shared" si="1"/>
        <v>0</v>
      </c>
      <c r="O99" s="1" t="s">
        <v>221</v>
      </c>
    </row>
    <row r="100" spans="11:15" x14ac:dyDescent="0.2">
      <c r="K100" s="1">
        <v>99</v>
      </c>
      <c r="L100" s="1" t="s">
        <v>100</v>
      </c>
      <c r="M100" s="1" t="s">
        <v>100</v>
      </c>
      <c r="N100" s="1" t="b">
        <f t="shared" si="1"/>
        <v>1</v>
      </c>
      <c r="O100" s="1" t="s">
        <v>221</v>
      </c>
    </row>
    <row r="101" spans="11:15" hidden="1" x14ac:dyDescent="0.2">
      <c r="K101" s="1">
        <v>100</v>
      </c>
      <c r="L101" s="1" t="s">
        <v>101</v>
      </c>
      <c r="N101" s="1" t="b">
        <f t="shared" si="1"/>
        <v>0</v>
      </c>
      <c r="O101" s="1" t="s">
        <v>221</v>
      </c>
    </row>
    <row r="102" spans="11:15" hidden="1" x14ac:dyDescent="0.2">
      <c r="K102" s="1">
        <v>101</v>
      </c>
      <c r="L102" s="1" t="s">
        <v>102</v>
      </c>
      <c r="N102" s="1" t="b">
        <f t="shared" si="1"/>
        <v>0</v>
      </c>
      <c r="O102" s="1" t="s">
        <v>221</v>
      </c>
    </row>
    <row r="103" spans="11:15" hidden="1" x14ac:dyDescent="0.2">
      <c r="K103" s="1">
        <v>102</v>
      </c>
      <c r="L103" s="1" t="s">
        <v>103</v>
      </c>
      <c r="N103" s="1" t="b">
        <f t="shared" si="1"/>
        <v>0</v>
      </c>
      <c r="O103" s="1" t="s">
        <v>221</v>
      </c>
    </row>
    <row r="104" spans="11:15" hidden="1" x14ac:dyDescent="0.2">
      <c r="K104" s="1">
        <v>103</v>
      </c>
      <c r="L104" s="1" t="s">
        <v>104</v>
      </c>
      <c r="N104" s="1" t="b">
        <f t="shared" si="1"/>
        <v>0</v>
      </c>
      <c r="O104" s="1" t="s">
        <v>222</v>
      </c>
    </row>
    <row r="105" spans="11:15" hidden="1" x14ac:dyDescent="0.2">
      <c r="K105" s="1">
        <v>104</v>
      </c>
      <c r="L105" s="1" t="s">
        <v>105</v>
      </c>
      <c r="N105" s="1" t="b">
        <f t="shared" si="1"/>
        <v>0</v>
      </c>
      <c r="O105" s="1" t="s">
        <v>222</v>
      </c>
    </row>
    <row r="106" spans="11:15" x14ac:dyDescent="0.2">
      <c r="K106" s="1">
        <v>105</v>
      </c>
      <c r="L106" s="1" t="s">
        <v>106</v>
      </c>
      <c r="M106" s="1" t="s">
        <v>106</v>
      </c>
      <c r="N106" s="1" t="b">
        <f t="shared" si="1"/>
        <v>1</v>
      </c>
      <c r="O106" s="1" t="s">
        <v>221</v>
      </c>
    </row>
    <row r="107" spans="11:15" hidden="1" x14ac:dyDescent="0.2">
      <c r="K107" s="1">
        <v>106</v>
      </c>
      <c r="L107" s="1" t="s">
        <v>107</v>
      </c>
      <c r="N107" s="1" t="b">
        <f t="shared" si="1"/>
        <v>0</v>
      </c>
      <c r="O107" s="1" t="s">
        <v>222</v>
      </c>
    </row>
    <row r="108" spans="11:15" hidden="1" x14ac:dyDescent="0.2">
      <c r="K108" s="1">
        <v>107</v>
      </c>
      <c r="L108" s="1" t="s">
        <v>108</v>
      </c>
      <c r="N108" s="1" t="b">
        <f t="shared" si="1"/>
        <v>0</v>
      </c>
      <c r="O108" s="1" t="s">
        <v>222</v>
      </c>
    </row>
    <row r="109" spans="11:15" hidden="1" x14ac:dyDescent="0.2">
      <c r="K109" s="1">
        <v>108</v>
      </c>
      <c r="L109" s="1" t="s">
        <v>109</v>
      </c>
      <c r="M109" s="1" t="s">
        <v>109</v>
      </c>
      <c r="N109" s="1" t="b">
        <f t="shared" si="1"/>
        <v>1</v>
      </c>
      <c r="O109" s="1" t="s">
        <v>222</v>
      </c>
    </row>
    <row r="110" spans="11:15" hidden="1" x14ac:dyDescent="0.2">
      <c r="K110" s="1">
        <v>109</v>
      </c>
      <c r="L110" s="1" t="s">
        <v>110</v>
      </c>
      <c r="N110" s="1" t="b">
        <f t="shared" si="1"/>
        <v>0</v>
      </c>
      <c r="O110" s="1" t="s">
        <v>221</v>
      </c>
    </row>
    <row r="111" spans="11:15" hidden="1" x14ac:dyDescent="0.2">
      <c r="K111" s="1">
        <v>110</v>
      </c>
      <c r="L111" s="1" t="s">
        <v>111</v>
      </c>
      <c r="N111" s="1" t="b">
        <f t="shared" si="1"/>
        <v>0</v>
      </c>
      <c r="O111" s="1" t="s">
        <v>221</v>
      </c>
    </row>
    <row r="112" spans="11:15" x14ac:dyDescent="0.2">
      <c r="K112" s="1">
        <v>111</v>
      </c>
      <c r="L112" s="1" t="s">
        <v>112</v>
      </c>
      <c r="M112" s="1" t="s">
        <v>112</v>
      </c>
      <c r="N112" s="1" t="b">
        <f t="shared" si="1"/>
        <v>1</v>
      </c>
      <c r="O112" s="1" t="s">
        <v>221</v>
      </c>
    </row>
    <row r="113" spans="11:15" x14ac:dyDescent="0.2">
      <c r="K113" s="1">
        <v>112</v>
      </c>
      <c r="L113" s="1" t="s">
        <v>113</v>
      </c>
      <c r="M113" s="1" t="s">
        <v>113</v>
      </c>
      <c r="N113" s="1" t="b">
        <f t="shared" si="1"/>
        <v>1</v>
      </c>
      <c r="O113" s="1" t="s">
        <v>221</v>
      </c>
    </row>
    <row r="114" spans="11:15" x14ac:dyDescent="0.2">
      <c r="K114" s="1">
        <v>113</v>
      </c>
      <c r="L114" s="1" t="s">
        <v>114</v>
      </c>
      <c r="M114" s="1" t="s">
        <v>114</v>
      </c>
      <c r="N114" s="1" t="b">
        <f t="shared" si="1"/>
        <v>1</v>
      </c>
      <c r="O114" s="1" t="s">
        <v>221</v>
      </c>
    </row>
    <row r="115" spans="11:15" x14ac:dyDescent="0.2">
      <c r="K115" s="1">
        <v>114</v>
      </c>
      <c r="L115" s="1" t="s">
        <v>115</v>
      </c>
      <c r="M115" s="1" t="s">
        <v>115</v>
      </c>
      <c r="N115" s="1" t="b">
        <f t="shared" si="1"/>
        <v>1</v>
      </c>
      <c r="O115" s="1" t="s">
        <v>221</v>
      </c>
    </row>
    <row r="116" spans="11:15" hidden="1" x14ac:dyDescent="0.2">
      <c r="K116" s="1">
        <v>115</v>
      </c>
      <c r="L116" s="1" t="s">
        <v>116</v>
      </c>
      <c r="M116" s="1" t="s">
        <v>116</v>
      </c>
      <c r="N116" s="1" t="b">
        <f t="shared" si="1"/>
        <v>1</v>
      </c>
      <c r="O116" s="1" t="s">
        <v>222</v>
      </c>
    </row>
    <row r="117" spans="11:15" x14ac:dyDescent="0.2">
      <c r="K117" s="1">
        <v>116</v>
      </c>
      <c r="L117" s="1" t="s">
        <v>117</v>
      </c>
      <c r="M117" s="1" t="s">
        <v>117</v>
      </c>
      <c r="N117" s="1" t="b">
        <f t="shared" si="1"/>
        <v>1</v>
      </c>
      <c r="O117" s="1" t="s">
        <v>221</v>
      </c>
    </row>
    <row r="118" spans="11:15" x14ac:dyDescent="0.2">
      <c r="K118" s="1">
        <v>117</v>
      </c>
      <c r="L118" s="1" t="s">
        <v>118</v>
      </c>
      <c r="M118" s="1" t="s">
        <v>118</v>
      </c>
      <c r="N118" s="1" t="b">
        <f t="shared" si="1"/>
        <v>1</v>
      </c>
      <c r="O118" s="1" t="s">
        <v>221</v>
      </c>
    </row>
    <row r="119" spans="11:15" x14ac:dyDescent="0.2">
      <c r="K119" s="1">
        <v>118</v>
      </c>
      <c r="L119" s="1" t="s">
        <v>119</v>
      </c>
      <c r="M119" s="1" t="s">
        <v>119</v>
      </c>
      <c r="N119" s="1" t="b">
        <f t="shared" si="1"/>
        <v>1</v>
      </c>
      <c r="O119" s="1" t="s">
        <v>221</v>
      </c>
    </row>
    <row r="120" spans="11:15" x14ac:dyDescent="0.2">
      <c r="K120" s="1">
        <v>119</v>
      </c>
      <c r="L120" s="1" t="s">
        <v>120</v>
      </c>
      <c r="M120" s="1" t="s">
        <v>120</v>
      </c>
      <c r="N120" s="1" t="b">
        <f t="shared" si="1"/>
        <v>1</v>
      </c>
      <c r="O120" s="1" t="s">
        <v>221</v>
      </c>
    </row>
    <row r="121" spans="11:15" x14ac:dyDescent="0.2">
      <c r="K121" s="1">
        <v>120</v>
      </c>
      <c r="L121" s="1" t="s">
        <v>121</v>
      </c>
      <c r="M121" s="1" t="s">
        <v>121</v>
      </c>
      <c r="N121" s="1" t="b">
        <f t="shared" si="1"/>
        <v>1</v>
      </c>
      <c r="O121" s="1" t="s">
        <v>221</v>
      </c>
    </row>
    <row r="122" spans="11:15" x14ac:dyDescent="0.2">
      <c r="K122" s="1">
        <v>121</v>
      </c>
      <c r="L122" s="1" t="s">
        <v>122</v>
      </c>
      <c r="M122" s="1" t="s">
        <v>122</v>
      </c>
      <c r="N122" s="1" t="b">
        <f t="shared" si="1"/>
        <v>1</v>
      </c>
      <c r="O122" s="1" t="s">
        <v>221</v>
      </c>
    </row>
    <row r="123" spans="11:15" x14ac:dyDescent="0.2">
      <c r="K123" s="1">
        <v>122</v>
      </c>
      <c r="L123" s="1" t="s">
        <v>123</v>
      </c>
      <c r="M123" s="1" t="s">
        <v>123</v>
      </c>
      <c r="N123" s="1" t="b">
        <f t="shared" si="1"/>
        <v>1</v>
      </c>
      <c r="O123" s="1" t="s">
        <v>221</v>
      </c>
    </row>
    <row r="124" spans="11:15" x14ac:dyDescent="0.2">
      <c r="K124" s="1">
        <v>123</v>
      </c>
      <c r="L124" s="1" t="s">
        <v>124</v>
      </c>
      <c r="M124" s="1" t="s">
        <v>124</v>
      </c>
      <c r="N124" s="1" t="b">
        <f t="shared" si="1"/>
        <v>1</v>
      </c>
      <c r="O124" s="1" t="s">
        <v>221</v>
      </c>
    </row>
    <row r="125" spans="11:15" x14ac:dyDescent="0.2">
      <c r="K125" s="1">
        <v>124</v>
      </c>
      <c r="L125" s="1" t="s">
        <v>125</v>
      </c>
      <c r="M125" s="1" t="s">
        <v>125</v>
      </c>
      <c r="N125" s="1" t="b">
        <f t="shared" si="1"/>
        <v>1</v>
      </c>
      <c r="O125" s="1" t="s">
        <v>221</v>
      </c>
    </row>
    <row r="126" spans="11:15" x14ac:dyDescent="0.2">
      <c r="K126" s="1">
        <v>125</v>
      </c>
      <c r="L126" s="1" t="s">
        <v>126</v>
      </c>
      <c r="M126" s="1" t="s">
        <v>126</v>
      </c>
      <c r="N126" s="1" t="b">
        <f t="shared" si="1"/>
        <v>1</v>
      </c>
      <c r="O126" s="1" t="s">
        <v>221</v>
      </c>
    </row>
    <row r="127" spans="11:15" hidden="1" x14ac:dyDescent="0.2">
      <c r="K127" s="1">
        <v>126</v>
      </c>
      <c r="L127" s="1" t="s">
        <v>127</v>
      </c>
      <c r="N127" s="1" t="b">
        <f t="shared" si="1"/>
        <v>0</v>
      </c>
      <c r="O127" s="1" t="s">
        <v>221</v>
      </c>
    </row>
    <row r="128" spans="11:15" hidden="1" x14ac:dyDescent="0.2">
      <c r="K128" s="1">
        <v>127</v>
      </c>
      <c r="L128" s="1" t="s">
        <v>128</v>
      </c>
      <c r="N128" s="1" t="b">
        <f t="shared" si="1"/>
        <v>0</v>
      </c>
      <c r="O128" s="1" t="s">
        <v>221</v>
      </c>
    </row>
    <row r="129" spans="11:15" x14ac:dyDescent="0.2">
      <c r="K129" s="1">
        <v>128</v>
      </c>
      <c r="L129" s="1" t="s">
        <v>129</v>
      </c>
      <c r="M129" s="1" t="s">
        <v>129</v>
      </c>
      <c r="N129" s="1" t="b">
        <f t="shared" ref="N129:N192" si="2">L:L=M:M</f>
        <v>1</v>
      </c>
      <c r="O129" s="1" t="s">
        <v>221</v>
      </c>
    </row>
    <row r="130" spans="11:15" x14ac:dyDescent="0.2">
      <c r="K130" s="1">
        <v>129</v>
      </c>
      <c r="L130" s="1" t="s">
        <v>130</v>
      </c>
      <c r="M130" s="1" t="s">
        <v>130</v>
      </c>
      <c r="N130" s="1" t="b">
        <f t="shared" si="2"/>
        <v>1</v>
      </c>
      <c r="O130" s="1" t="s">
        <v>221</v>
      </c>
    </row>
    <row r="131" spans="11:15" x14ac:dyDescent="0.2">
      <c r="K131" s="1">
        <v>130</v>
      </c>
      <c r="L131" s="1" t="s">
        <v>131</v>
      </c>
      <c r="M131" s="1" t="s">
        <v>131</v>
      </c>
      <c r="N131" s="1" t="b">
        <f t="shared" si="2"/>
        <v>1</v>
      </c>
      <c r="O131" s="1" t="s">
        <v>221</v>
      </c>
    </row>
    <row r="132" spans="11:15" x14ac:dyDescent="0.2">
      <c r="K132" s="1">
        <v>131</v>
      </c>
      <c r="L132" s="1" t="s">
        <v>132</v>
      </c>
      <c r="M132" s="1" t="s">
        <v>132</v>
      </c>
      <c r="N132" s="1" t="b">
        <f t="shared" si="2"/>
        <v>1</v>
      </c>
      <c r="O132" s="1" t="s">
        <v>221</v>
      </c>
    </row>
    <row r="133" spans="11:15" x14ac:dyDescent="0.2">
      <c r="K133" s="1">
        <v>132</v>
      </c>
      <c r="L133" s="1" t="s">
        <v>133</v>
      </c>
      <c r="M133" s="1" t="s">
        <v>133</v>
      </c>
      <c r="N133" s="1" t="b">
        <f t="shared" si="2"/>
        <v>1</v>
      </c>
      <c r="O133" s="1" t="s">
        <v>221</v>
      </c>
    </row>
    <row r="134" spans="11:15" hidden="1" x14ac:dyDescent="0.2">
      <c r="K134" s="1">
        <v>133</v>
      </c>
      <c r="L134" s="1" t="s">
        <v>134</v>
      </c>
      <c r="N134" s="1" t="b">
        <f t="shared" si="2"/>
        <v>0</v>
      </c>
      <c r="O134" s="1" t="s">
        <v>221</v>
      </c>
    </row>
    <row r="135" spans="11:15" x14ac:dyDescent="0.2">
      <c r="K135" s="1">
        <v>134</v>
      </c>
      <c r="L135" s="1" t="s">
        <v>135</v>
      </c>
      <c r="M135" s="1" t="s">
        <v>135</v>
      </c>
      <c r="N135" s="1" t="b">
        <f t="shared" si="2"/>
        <v>1</v>
      </c>
      <c r="O135" s="1" t="s">
        <v>221</v>
      </c>
    </row>
    <row r="136" spans="11:15" x14ac:dyDescent="0.2">
      <c r="K136" s="1">
        <v>135</v>
      </c>
      <c r="L136" s="1" t="s">
        <v>136</v>
      </c>
      <c r="M136" s="1" t="s">
        <v>136</v>
      </c>
      <c r="N136" s="1" t="b">
        <f t="shared" si="2"/>
        <v>1</v>
      </c>
      <c r="O136" s="1" t="s">
        <v>221</v>
      </c>
    </row>
    <row r="137" spans="11:15" x14ac:dyDescent="0.2">
      <c r="K137" s="1">
        <v>136</v>
      </c>
      <c r="L137" s="1" t="s">
        <v>137</v>
      </c>
      <c r="M137" s="1" t="s">
        <v>137</v>
      </c>
      <c r="N137" s="1" t="b">
        <f t="shared" si="2"/>
        <v>1</v>
      </c>
      <c r="O137" s="1" t="s">
        <v>221</v>
      </c>
    </row>
    <row r="138" spans="11:15" x14ac:dyDescent="0.2">
      <c r="K138" s="1">
        <v>137</v>
      </c>
      <c r="L138" s="1" t="s">
        <v>138</v>
      </c>
      <c r="M138" s="1" t="s">
        <v>138</v>
      </c>
      <c r="N138" s="1" t="b">
        <f t="shared" si="2"/>
        <v>1</v>
      </c>
      <c r="O138" s="1" t="s">
        <v>221</v>
      </c>
    </row>
    <row r="139" spans="11:15" x14ac:dyDescent="0.2">
      <c r="K139" s="1">
        <v>138</v>
      </c>
      <c r="L139" s="1" t="s">
        <v>139</v>
      </c>
      <c r="M139" s="1" t="s">
        <v>139</v>
      </c>
      <c r="N139" s="1" t="b">
        <f t="shared" si="2"/>
        <v>1</v>
      </c>
      <c r="O139" s="1" t="s">
        <v>221</v>
      </c>
    </row>
    <row r="140" spans="11:15" x14ac:dyDescent="0.2">
      <c r="K140" s="1">
        <v>139</v>
      </c>
      <c r="L140" s="1" t="s">
        <v>140</v>
      </c>
      <c r="M140" s="1" t="s">
        <v>140</v>
      </c>
      <c r="N140" s="1" t="b">
        <f t="shared" si="2"/>
        <v>1</v>
      </c>
      <c r="O140" s="1" t="s">
        <v>221</v>
      </c>
    </row>
    <row r="141" spans="11:15" x14ac:dyDescent="0.2">
      <c r="K141" s="1">
        <v>140</v>
      </c>
      <c r="L141" s="1" t="s">
        <v>141</v>
      </c>
      <c r="M141" s="1" t="s">
        <v>141</v>
      </c>
      <c r="N141" s="1" t="b">
        <f t="shared" si="2"/>
        <v>1</v>
      </c>
      <c r="O141" s="1" t="s">
        <v>221</v>
      </c>
    </row>
    <row r="142" spans="11:15" hidden="1" x14ac:dyDescent="0.2">
      <c r="K142" s="1">
        <v>141</v>
      </c>
      <c r="L142" s="1" t="s">
        <v>142</v>
      </c>
      <c r="N142" s="1" t="b">
        <f t="shared" si="2"/>
        <v>0</v>
      </c>
      <c r="O142" s="1" t="s">
        <v>222</v>
      </c>
    </row>
    <row r="143" spans="11:15" hidden="1" x14ac:dyDescent="0.2">
      <c r="K143" s="1">
        <v>142</v>
      </c>
      <c r="L143" s="1" t="s">
        <v>143</v>
      </c>
      <c r="N143" s="1" t="b">
        <f t="shared" si="2"/>
        <v>0</v>
      </c>
      <c r="O143" s="1" t="s">
        <v>222</v>
      </c>
    </row>
    <row r="144" spans="11:15" hidden="1" x14ac:dyDescent="0.2">
      <c r="K144" s="1">
        <v>143</v>
      </c>
      <c r="L144" s="1" t="s">
        <v>144</v>
      </c>
      <c r="N144" s="1" t="b">
        <f t="shared" si="2"/>
        <v>0</v>
      </c>
      <c r="O144" s="1" t="s">
        <v>222</v>
      </c>
    </row>
    <row r="145" spans="11:15" hidden="1" x14ac:dyDescent="0.2">
      <c r="K145" s="1">
        <v>144</v>
      </c>
      <c r="L145" s="1" t="s">
        <v>145</v>
      </c>
      <c r="N145" s="1" t="b">
        <f t="shared" si="2"/>
        <v>0</v>
      </c>
      <c r="O145" s="1" t="s">
        <v>222</v>
      </c>
    </row>
    <row r="146" spans="11:15" hidden="1" x14ac:dyDescent="0.2">
      <c r="K146" s="1">
        <v>145</v>
      </c>
      <c r="L146" s="1" t="s">
        <v>146</v>
      </c>
      <c r="N146" s="1" t="b">
        <f t="shared" si="2"/>
        <v>0</v>
      </c>
      <c r="O146" s="1" t="s">
        <v>222</v>
      </c>
    </row>
    <row r="147" spans="11:15" hidden="1" x14ac:dyDescent="0.2">
      <c r="K147" s="1">
        <v>146</v>
      </c>
      <c r="L147" s="1" t="s">
        <v>147</v>
      </c>
      <c r="M147" s="1" t="s">
        <v>147</v>
      </c>
      <c r="N147" s="1" t="b">
        <f t="shared" si="2"/>
        <v>1</v>
      </c>
      <c r="O147" s="1" t="s">
        <v>222</v>
      </c>
    </row>
    <row r="148" spans="11:15" hidden="1" x14ac:dyDescent="0.2">
      <c r="K148" s="1">
        <v>147</v>
      </c>
      <c r="L148" s="1" t="s">
        <v>148</v>
      </c>
      <c r="N148" s="1" t="b">
        <f t="shared" si="2"/>
        <v>0</v>
      </c>
      <c r="O148" s="1" t="s">
        <v>222</v>
      </c>
    </row>
    <row r="149" spans="11:15" hidden="1" x14ac:dyDescent="0.2">
      <c r="K149" s="1">
        <v>148</v>
      </c>
      <c r="L149" s="1" t="s">
        <v>149</v>
      </c>
      <c r="M149" s="1" t="s">
        <v>149</v>
      </c>
      <c r="N149" s="1" t="b">
        <f t="shared" si="2"/>
        <v>1</v>
      </c>
      <c r="O149" s="1" t="s">
        <v>222</v>
      </c>
    </row>
    <row r="150" spans="11:15" hidden="1" x14ac:dyDescent="0.2">
      <c r="K150" s="1">
        <v>149</v>
      </c>
      <c r="L150" s="1" t="s">
        <v>150</v>
      </c>
      <c r="N150" s="1" t="b">
        <f t="shared" si="2"/>
        <v>0</v>
      </c>
      <c r="O150" s="1" t="s">
        <v>222</v>
      </c>
    </row>
    <row r="151" spans="11:15" hidden="1" x14ac:dyDescent="0.2">
      <c r="K151" s="1">
        <v>150</v>
      </c>
      <c r="L151" s="1" t="s">
        <v>151</v>
      </c>
      <c r="M151" s="1" t="s">
        <v>151</v>
      </c>
      <c r="N151" s="1" t="b">
        <f t="shared" si="2"/>
        <v>1</v>
      </c>
      <c r="O151" s="1" t="s">
        <v>222</v>
      </c>
    </row>
    <row r="152" spans="11:15" hidden="1" x14ac:dyDescent="0.2">
      <c r="K152" s="1">
        <v>151</v>
      </c>
      <c r="L152" s="1" t="s">
        <v>152</v>
      </c>
      <c r="N152" s="1" t="b">
        <f t="shared" si="2"/>
        <v>0</v>
      </c>
      <c r="O152" s="1" t="s">
        <v>222</v>
      </c>
    </row>
    <row r="153" spans="11:15" hidden="1" x14ac:dyDescent="0.2">
      <c r="K153" s="1">
        <v>152</v>
      </c>
      <c r="L153" s="1" t="s">
        <v>153</v>
      </c>
      <c r="M153" s="1" t="s">
        <v>153</v>
      </c>
      <c r="N153" s="1" t="b">
        <f t="shared" si="2"/>
        <v>1</v>
      </c>
      <c r="O153" s="1" t="s">
        <v>222</v>
      </c>
    </row>
    <row r="154" spans="11:15" hidden="1" x14ac:dyDescent="0.2">
      <c r="K154" s="1">
        <v>153</v>
      </c>
      <c r="L154" s="1" t="s">
        <v>154</v>
      </c>
      <c r="N154" s="1" t="b">
        <f t="shared" si="2"/>
        <v>0</v>
      </c>
      <c r="O154" s="1" t="s">
        <v>222</v>
      </c>
    </row>
    <row r="155" spans="11:15" x14ac:dyDescent="0.2">
      <c r="K155" s="1">
        <v>154</v>
      </c>
      <c r="L155" s="1" t="s">
        <v>155</v>
      </c>
      <c r="M155" s="1" t="s">
        <v>155</v>
      </c>
      <c r="N155" s="1" t="b">
        <f t="shared" si="2"/>
        <v>1</v>
      </c>
      <c r="O155" s="1" t="s">
        <v>221</v>
      </c>
    </row>
    <row r="156" spans="11:15" hidden="1" x14ac:dyDescent="0.2">
      <c r="K156" s="1">
        <v>155</v>
      </c>
      <c r="L156" s="1" t="s">
        <v>156</v>
      </c>
      <c r="N156" s="1" t="b">
        <f t="shared" si="2"/>
        <v>0</v>
      </c>
      <c r="O156" s="1" t="s">
        <v>222</v>
      </c>
    </row>
    <row r="157" spans="11:15" hidden="1" x14ac:dyDescent="0.2">
      <c r="K157" s="1">
        <v>156</v>
      </c>
      <c r="L157" s="1" t="s">
        <v>157</v>
      </c>
      <c r="N157" s="1" t="b">
        <f t="shared" si="2"/>
        <v>0</v>
      </c>
      <c r="O157" s="1" t="s">
        <v>222</v>
      </c>
    </row>
    <row r="158" spans="11:15" hidden="1" x14ac:dyDescent="0.2">
      <c r="K158" s="1">
        <v>157</v>
      </c>
      <c r="L158" s="1" t="s">
        <v>158</v>
      </c>
      <c r="M158" s="1" t="s">
        <v>158</v>
      </c>
      <c r="N158" s="1" t="b">
        <f t="shared" si="2"/>
        <v>1</v>
      </c>
      <c r="O158" s="1" t="s">
        <v>222</v>
      </c>
    </row>
    <row r="159" spans="11:15" hidden="1" x14ac:dyDescent="0.2">
      <c r="K159" s="1">
        <v>158</v>
      </c>
      <c r="L159" s="1" t="s">
        <v>159</v>
      </c>
      <c r="N159" s="1" t="b">
        <f t="shared" si="2"/>
        <v>0</v>
      </c>
      <c r="O159" s="1" t="s">
        <v>222</v>
      </c>
    </row>
    <row r="160" spans="11:15" x14ac:dyDescent="0.2">
      <c r="K160" s="1">
        <v>159</v>
      </c>
      <c r="L160" s="1" t="s">
        <v>160</v>
      </c>
      <c r="M160" s="1" t="s">
        <v>160</v>
      </c>
      <c r="N160" s="1" t="b">
        <f t="shared" si="2"/>
        <v>1</v>
      </c>
      <c r="O160" s="1" t="s">
        <v>221</v>
      </c>
    </row>
    <row r="161" spans="11:15" x14ac:dyDescent="0.2">
      <c r="K161" s="1">
        <v>160</v>
      </c>
      <c r="L161" s="1" t="s">
        <v>161</v>
      </c>
      <c r="M161" s="1" t="s">
        <v>161</v>
      </c>
      <c r="N161" s="1" t="b">
        <f t="shared" si="2"/>
        <v>1</v>
      </c>
      <c r="O161" s="1" t="s">
        <v>221</v>
      </c>
    </row>
    <row r="162" spans="11:15" hidden="1" x14ac:dyDescent="0.2">
      <c r="K162" s="1">
        <v>161</v>
      </c>
      <c r="L162" s="1" t="s">
        <v>162</v>
      </c>
      <c r="N162" s="1" t="b">
        <f t="shared" si="2"/>
        <v>0</v>
      </c>
      <c r="O162" s="1" t="s">
        <v>222</v>
      </c>
    </row>
    <row r="163" spans="11:15" x14ac:dyDescent="0.2">
      <c r="K163" s="1">
        <v>162</v>
      </c>
      <c r="L163" s="1" t="s">
        <v>163</v>
      </c>
      <c r="M163" s="1" t="s">
        <v>163</v>
      </c>
      <c r="N163" s="1" t="b">
        <f t="shared" si="2"/>
        <v>1</v>
      </c>
      <c r="O163" s="1" t="s">
        <v>221</v>
      </c>
    </row>
    <row r="164" spans="11:15" x14ac:dyDescent="0.2">
      <c r="K164" s="1">
        <v>163</v>
      </c>
      <c r="L164" s="1" t="s">
        <v>164</v>
      </c>
      <c r="M164" s="1" t="s">
        <v>164</v>
      </c>
      <c r="N164" s="1" t="b">
        <f t="shared" si="2"/>
        <v>1</v>
      </c>
      <c r="O164" s="1" t="s">
        <v>221</v>
      </c>
    </row>
    <row r="165" spans="11:15" x14ac:dyDescent="0.2">
      <c r="K165" s="1">
        <v>164</v>
      </c>
      <c r="L165" s="1" t="s">
        <v>165</v>
      </c>
      <c r="M165" s="1" t="s">
        <v>165</v>
      </c>
      <c r="N165" s="1" t="b">
        <f t="shared" si="2"/>
        <v>1</v>
      </c>
      <c r="O165" s="1" t="s">
        <v>221</v>
      </c>
    </row>
    <row r="166" spans="11:15" hidden="1" x14ac:dyDescent="0.2">
      <c r="K166" s="1">
        <v>165</v>
      </c>
      <c r="L166" s="1" t="s">
        <v>166</v>
      </c>
      <c r="N166" s="1" t="b">
        <f t="shared" si="2"/>
        <v>0</v>
      </c>
      <c r="O166" s="1" t="s">
        <v>222</v>
      </c>
    </row>
    <row r="167" spans="11:15" x14ac:dyDescent="0.2">
      <c r="K167" s="1">
        <v>166</v>
      </c>
      <c r="L167" s="1" t="s">
        <v>167</v>
      </c>
      <c r="M167" s="1" t="s">
        <v>167</v>
      </c>
      <c r="N167" s="1" t="b">
        <f t="shared" si="2"/>
        <v>1</v>
      </c>
      <c r="O167" s="1" t="s">
        <v>221</v>
      </c>
    </row>
    <row r="168" spans="11:15" hidden="1" x14ac:dyDescent="0.2">
      <c r="K168" s="1">
        <v>167</v>
      </c>
      <c r="L168" s="1" t="s">
        <v>168</v>
      </c>
      <c r="N168" s="1" t="b">
        <f t="shared" si="2"/>
        <v>0</v>
      </c>
      <c r="O168" s="1" t="s">
        <v>222</v>
      </c>
    </row>
    <row r="169" spans="11:15" x14ac:dyDescent="0.2">
      <c r="K169" s="1">
        <v>168</v>
      </c>
      <c r="L169" s="1" t="s">
        <v>169</v>
      </c>
      <c r="M169" s="1" t="s">
        <v>169</v>
      </c>
      <c r="N169" s="1" t="b">
        <f t="shared" si="2"/>
        <v>1</v>
      </c>
      <c r="O169" s="1" t="s">
        <v>221</v>
      </c>
    </row>
    <row r="170" spans="11:15" hidden="1" x14ac:dyDescent="0.2">
      <c r="K170" s="1">
        <v>169</v>
      </c>
      <c r="L170" s="1" t="s">
        <v>170</v>
      </c>
      <c r="N170" s="1" t="b">
        <f t="shared" si="2"/>
        <v>0</v>
      </c>
      <c r="O170" s="1" t="s">
        <v>222</v>
      </c>
    </row>
    <row r="171" spans="11:15" x14ac:dyDescent="0.2">
      <c r="K171" s="1">
        <v>170</v>
      </c>
      <c r="L171" s="1" t="s">
        <v>171</v>
      </c>
      <c r="M171" s="1" t="s">
        <v>171</v>
      </c>
      <c r="N171" s="1" t="b">
        <f t="shared" si="2"/>
        <v>1</v>
      </c>
      <c r="O171" s="1" t="s">
        <v>221</v>
      </c>
    </row>
    <row r="172" spans="11:15" hidden="1" x14ac:dyDescent="0.2">
      <c r="K172" s="1">
        <v>171</v>
      </c>
      <c r="L172" s="1" t="s">
        <v>172</v>
      </c>
      <c r="M172" s="1" t="s">
        <v>172</v>
      </c>
      <c r="N172" s="1" t="b">
        <f t="shared" si="2"/>
        <v>1</v>
      </c>
      <c r="O172" s="1" t="s">
        <v>222</v>
      </c>
    </row>
    <row r="173" spans="11:15" hidden="1" x14ac:dyDescent="0.2">
      <c r="K173" s="1">
        <v>172</v>
      </c>
      <c r="L173" s="1" t="s">
        <v>173</v>
      </c>
      <c r="M173" s="1" t="s">
        <v>173</v>
      </c>
      <c r="N173" s="1" t="b">
        <f t="shared" si="2"/>
        <v>1</v>
      </c>
      <c r="O173" s="1" t="s">
        <v>222</v>
      </c>
    </row>
    <row r="174" spans="11:15" hidden="1" x14ac:dyDescent="0.2">
      <c r="K174" s="1">
        <v>173</v>
      </c>
      <c r="L174" s="1" t="s">
        <v>174</v>
      </c>
      <c r="N174" s="1" t="b">
        <f t="shared" si="2"/>
        <v>0</v>
      </c>
      <c r="O174" s="1" t="s">
        <v>222</v>
      </c>
    </row>
    <row r="175" spans="11:15" x14ac:dyDescent="0.2">
      <c r="K175" s="1">
        <v>174</v>
      </c>
      <c r="L175" s="1" t="s">
        <v>175</v>
      </c>
      <c r="M175" s="1" t="s">
        <v>175</v>
      </c>
      <c r="N175" s="1" t="b">
        <f t="shared" si="2"/>
        <v>1</v>
      </c>
      <c r="O175" s="1" t="s">
        <v>221</v>
      </c>
    </row>
    <row r="176" spans="11:15" x14ac:dyDescent="0.2">
      <c r="K176" s="1">
        <v>175</v>
      </c>
      <c r="L176" s="1" t="s">
        <v>176</v>
      </c>
      <c r="M176" s="1" t="s">
        <v>176</v>
      </c>
      <c r="N176" s="1" t="b">
        <f t="shared" si="2"/>
        <v>1</v>
      </c>
      <c r="O176" s="1" t="s">
        <v>221</v>
      </c>
    </row>
    <row r="177" spans="11:15" x14ac:dyDescent="0.2">
      <c r="K177" s="1">
        <v>176</v>
      </c>
      <c r="L177" s="1" t="s">
        <v>177</v>
      </c>
      <c r="M177" s="1" t="s">
        <v>177</v>
      </c>
      <c r="N177" s="1" t="b">
        <f t="shared" si="2"/>
        <v>1</v>
      </c>
      <c r="O177" s="1" t="s">
        <v>221</v>
      </c>
    </row>
    <row r="178" spans="11:15" hidden="1" x14ac:dyDescent="0.2">
      <c r="K178" s="1">
        <v>177</v>
      </c>
      <c r="L178" s="1" t="s">
        <v>178</v>
      </c>
      <c r="N178" s="1" t="b">
        <f t="shared" si="2"/>
        <v>0</v>
      </c>
      <c r="O178" s="1" t="s">
        <v>222</v>
      </c>
    </row>
    <row r="179" spans="11:15" hidden="1" x14ac:dyDescent="0.2">
      <c r="K179" s="1">
        <v>178</v>
      </c>
      <c r="L179" s="1" t="s">
        <v>179</v>
      </c>
      <c r="N179" s="1" t="b">
        <f t="shared" si="2"/>
        <v>0</v>
      </c>
      <c r="O179" s="1" t="s">
        <v>222</v>
      </c>
    </row>
    <row r="180" spans="11:15" hidden="1" x14ac:dyDescent="0.2">
      <c r="K180" s="1">
        <v>179</v>
      </c>
      <c r="L180" s="1" t="s">
        <v>180</v>
      </c>
      <c r="N180" s="1" t="b">
        <f t="shared" si="2"/>
        <v>0</v>
      </c>
      <c r="O180" s="1" t="s">
        <v>221</v>
      </c>
    </row>
    <row r="181" spans="11:15" hidden="1" x14ac:dyDescent="0.2">
      <c r="K181" s="1">
        <v>180</v>
      </c>
      <c r="L181" s="1" t="s">
        <v>181</v>
      </c>
      <c r="N181" s="1" t="b">
        <f t="shared" si="2"/>
        <v>0</v>
      </c>
      <c r="O181" s="1" t="s">
        <v>221</v>
      </c>
    </row>
    <row r="182" spans="11:15" hidden="1" x14ac:dyDescent="0.2">
      <c r="K182" s="1">
        <v>181</v>
      </c>
      <c r="L182" s="1" t="s">
        <v>182</v>
      </c>
      <c r="N182" s="1" t="b">
        <f t="shared" si="2"/>
        <v>0</v>
      </c>
      <c r="O182" s="1" t="s">
        <v>221</v>
      </c>
    </row>
    <row r="183" spans="11:15" hidden="1" x14ac:dyDescent="0.2">
      <c r="K183" s="1">
        <v>182</v>
      </c>
      <c r="L183" s="1" t="s">
        <v>183</v>
      </c>
      <c r="N183" s="1" t="b">
        <f t="shared" si="2"/>
        <v>0</v>
      </c>
      <c r="O183" s="1" t="s">
        <v>222</v>
      </c>
    </row>
    <row r="184" spans="11:15" hidden="1" x14ac:dyDescent="0.2">
      <c r="K184" s="1">
        <v>183</v>
      </c>
      <c r="L184" s="1" t="s">
        <v>184</v>
      </c>
      <c r="N184" s="1" t="b">
        <f t="shared" si="2"/>
        <v>0</v>
      </c>
      <c r="O184" s="1" t="s">
        <v>221</v>
      </c>
    </row>
    <row r="185" spans="11:15" hidden="1" x14ac:dyDescent="0.2">
      <c r="K185" s="1">
        <v>184</v>
      </c>
      <c r="L185" s="1" t="s">
        <v>185</v>
      </c>
      <c r="N185" s="1" t="b">
        <f t="shared" si="2"/>
        <v>0</v>
      </c>
      <c r="O185" s="1" t="s">
        <v>222</v>
      </c>
    </row>
    <row r="186" spans="11:15" hidden="1" x14ac:dyDescent="0.2">
      <c r="K186" s="1">
        <v>185</v>
      </c>
      <c r="L186" s="1" t="s">
        <v>186</v>
      </c>
      <c r="N186" s="1" t="b">
        <f t="shared" si="2"/>
        <v>0</v>
      </c>
      <c r="O186" s="1" t="s">
        <v>221</v>
      </c>
    </row>
    <row r="187" spans="11:15" x14ac:dyDescent="0.2">
      <c r="K187" s="1">
        <v>186</v>
      </c>
      <c r="L187" s="1" t="s">
        <v>187</v>
      </c>
      <c r="M187" s="1" t="s">
        <v>187</v>
      </c>
      <c r="N187" s="1" t="b">
        <f t="shared" si="2"/>
        <v>1</v>
      </c>
      <c r="O187" s="1" t="s">
        <v>221</v>
      </c>
    </row>
    <row r="188" spans="11:15" hidden="1" x14ac:dyDescent="0.2">
      <c r="K188" s="1">
        <v>187</v>
      </c>
      <c r="L188" s="1" t="s">
        <v>188</v>
      </c>
      <c r="N188" s="1" t="b">
        <f t="shared" si="2"/>
        <v>0</v>
      </c>
      <c r="O188" s="1" t="s">
        <v>221</v>
      </c>
    </row>
    <row r="189" spans="11:15" hidden="1" x14ac:dyDescent="0.2">
      <c r="K189" s="1">
        <v>188</v>
      </c>
      <c r="L189" s="1" t="s">
        <v>189</v>
      </c>
      <c r="N189" s="1" t="b">
        <f t="shared" si="2"/>
        <v>0</v>
      </c>
      <c r="O189" s="1" t="s">
        <v>221</v>
      </c>
    </row>
    <row r="190" spans="11:15" hidden="1" x14ac:dyDescent="0.2">
      <c r="K190" s="1">
        <v>189</v>
      </c>
      <c r="L190" s="1" t="s">
        <v>190</v>
      </c>
      <c r="N190" s="1" t="b">
        <f t="shared" si="2"/>
        <v>0</v>
      </c>
      <c r="O190" s="1" t="s">
        <v>221</v>
      </c>
    </row>
    <row r="191" spans="11:15" hidden="1" x14ac:dyDescent="0.2">
      <c r="K191" s="1">
        <v>190</v>
      </c>
      <c r="L191" s="1" t="s">
        <v>191</v>
      </c>
      <c r="N191" s="1" t="b">
        <f t="shared" si="2"/>
        <v>0</v>
      </c>
      <c r="O191" s="1" t="s">
        <v>221</v>
      </c>
    </row>
    <row r="192" spans="11:15" hidden="1" x14ac:dyDescent="0.2">
      <c r="K192" s="1">
        <v>191</v>
      </c>
      <c r="L192" s="1" t="s">
        <v>192</v>
      </c>
      <c r="M192" s="1" t="s">
        <v>192</v>
      </c>
      <c r="N192" s="1" t="b">
        <f t="shared" si="2"/>
        <v>1</v>
      </c>
      <c r="O192" s="1" t="s">
        <v>222</v>
      </c>
    </row>
    <row r="193" spans="11:15" hidden="1" x14ac:dyDescent="0.2">
      <c r="K193" s="1">
        <v>192</v>
      </c>
      <c r="L193" s="1" t="s">
        <v>193</v>
      </c>
      <c r="M193" s="1" t="s">
        <v>193</v>
      </c>
      <c r="N193" s="1" t="b">
        <f t="shared" ref="N193:N220" si="3">L:L=M:M</f>
        <v>1</v>
      </c>
      <c r="O193" s="1" t="s">
        <v>222</v>
      </c>
    </row>
    <row r="194" spans="11:15" x14ac:dyDescent="0.2">
      <c r="K194" s="1">
        <v>193</v>
      </c>
      <c r="L194" s="1" t="s">
        <v>194</v>
      </c>
      <c r="M194" s="1" t="s">
        <v>194</v>
      </c>
      <c r="N194" s="1" t="b">
        <f t="shared" si="3"/>
        <v>1</v>
      </c>
      <c r="O194" s="1" t="s">
        <v>221</v>
      </c>
    </row>
    <row r="195" spans="11:15" hidden="1" x14ac:dyDescent="0.2">
      <c r="K195" s="1">
        <v>194</v>
      </c>
      <c r="L195" s="1" t="s">
        <v>195</v>
      </c>
      <c r="M195" s="1" t="s">
        <v>195</v>
      </c>
      <c r="N195" s="1" t="b">
        <f t="shared" si="3"/>
        <v>1</v>
      </c>
      <c r="O195" s="1" t="s">
        <v>222</v>
      </c>
    </row>
    <row r="196" spans="11:15" hidden="1" x14ac:dyDescent="0.2">
      <c r="K196" s="1">
        <v>195</v>
      </c>
      <c r="L196" s="1" t="s">
        <v>196</v>
      </c>
      <c r="M196" s="1" t="s">
        <v>196</v>
      </c>
      <c r="N196" s="1" t="b">
        <f t="shared" si="3"/>
        <v>1</v>
      </c>
      <c r="O196" s="1" t="s">
        <v>222</v>
      </c>
    </row>
    <row r="197" spans="11:15" hidden="1" x14ac:dyDescent="0.2">
      <c r="K197" s="1">
        <v>196</v>
      </c>
      <c r="L197" s="1" t="s">
        <v>197</v>
      </c>
      <c r="N197" s="1" t="b">
        <f t="shared" si="3"/>
        <v>0</v>
      </c>
      <c r="O197" s="1" t="s">
        <v>222</v>
      </c>
    </row>
    <row r="198" spans="11:15" hidden="1" x14ac:dyDescent="0.2">
      <c r="K198" s="1">
        <v>197</v>
      </c>
      <c r="L198" s="1" t="s">
        <v>198</v>
      </c>
      <c r="M198" s="1" t="s">
        <v>198</v>
      </c>
      <c r="N198" s="1" t="b">
        <f t="shared" si="3"/>
        <v>1</v>
      </c>
      <c r="O198" s="1" t="s">
        <v>222</v>
      </c>
    </row>
    <row r="199" spans="11:15" hidden="1" x14ac:dyDescent="0.2">
      <c r="K199" s="1">
        <v>198</v>
      </c>
      <c r="L199" s="1" t="s">
        <v>199</v>
      </c>
      <c r="N199" s="1" t="b">
        <f t="shared" si="3"/>
        <v>0</v>
      </c>
      <c r="O199" s="1" t="s">
        <v>222</v>
      </c>
    </row>
    <row r="200" spans="11:15" hidden="1" x14ac:dyDescent="0.2">
      <c r="K200" s="1">
        <v>199</v>
      </c>
      <c r="L200" s="1" t="s">
        <v>200</v>
      </c>
      <c r="N200" s="1" t="b">
        <f t="shared" si="3"/>
        <v>0</v>
      </c>
      <c r="O200" s="1" t="s">
        <v>222</v>
      </c>
    </row>
    <row r="201" spans="11:15" x14ac:dyDescent="0.2">
      <c r="K201" s="1">
        <v>200</v>
      </c>
      <c r="L201" s="1" t="s">
        <v>201</v>
      </c>
      <c r="M201" s="1" t="s">
        <v>201</v>
      </c>
      <c r="N201" s="1" t="b">
        <f t="shared" si="3"/>
        <v>1</v>
      </c>
      <c r="O201" s="1" t="s">
        <v>221</v>
      </c>
    </row>
    <row r="202" spans="11:15" hidden="1" x14ac:dyDescent="0.2">
      <c r="K202" s="1">
        <v>201</v>
      </c>
      <c r="L202" s="1" t="s">
        <v>202</v>
      </c>
      <c r="M202" s="1" t="s">
        <v>202</v>
      </c>
      <c r="N202" s="1" t="b">
        <f t="shared" si="3"/>
        <v>1</v>
      </c>
      <c r="O202" s="1" t="s">
        <v>222</v>
      </c>
    </row>
    <row r="203" spans="11:15" hidden="1" x14ac:dyDescent="0.2">
      <c r="K203" s="1">
        <v>202</v>
      </c>
      <c r="L203" s="1" t="s">
        <v>203</v>
      </c>
      <c r="M203" s="1" t="s">
        <v>203</v>
      </c>
      <c r="N203" s="1" t="b">
        <f t="shared" si="3"/>
        <v>1</v>
      </c>
      <c r="O203" s="1" t="s">
        <v>222</v>
      </c>
    </row>
    <row r="204" spans="11:15" hidden="1" x14ac:dyDescent="0.2">
      <c r="K204" s="1">
        <v>203</v>
      </c>
      <c r="L204" s="1" t="s">
        <v>204</v>
      </c>
      <c r="N204" s="1" t="b">
        <f t="shared" si="3"/>
        <v>0</v>
      </c>
      <c r="O204" s="1" t="s">
        <v>222</v>
      </c>
    </row>
    <row r="205" spans="11:15" hidden="1" x14ac:dyDescent="0.2">
      <c r="K205" s="1">
        <v>204</v>
      </c>
      <c r="L205" s="1" t="s">
        <v>205</v>
      </c>
      <c r="M205" s="1" t="s">
        <v>205</v>
      </c>
      <c r="N205" s="1" t="b">
        <f t="shared" si="3"/>
        <v>1</v>
      </c>
      <c r="O205" s="1" t="s">
        <v>222</v>
      </c>
    </row>
    <row r="206" spans="11:15" hidden="1" x14ac:dyDescent="0.2">
      <c r="K206" s="1">
        <v>205</v>
      </c>
      <c r="L206" s="1" t="s">
        <v>206</v>
      </c>
      <c r="M206" s="1" t="s">
        <v>206</v>
      </c>
      <c r="N206" s="1" t="b">
        <f t="shared" si="3"/>
        <v>1</v>
      </c>
      <c r="O206" s="1" t="s">
        <v>222</v>
      </c>
    </row>
    <row r="207" spans="11:15" hidden="1" x14ac:dyDescent="0.2">
      <c r="K207" s="1">
        <v>206</v>
      </c>
      <c r="L207" s="1" t="s">
        <v>207</v>
      </c>
      <c r="N207" s="1" t="b">
        <f t="shared" si="3"/>
        <v>0</v>
      </c>
      <c r="O207" s="1" t="s">
        <v>222</v>
      </c>
    </row>
    <row r="208" spans="11:15" hidden="1" x14ac:dyDescent="0.2">
      <c r="K208" s="1">
        <v>207</v>
      </c>
      <c r="L208" s="1" t="s">
        <v>208</v>
      </c>
      <c r="M208" s="1" t="s">
        <v>208</v>
      </c>
      <c r="N208" s="1" t="b">
        <f t="shared" si="3"/>
        <v>1</v>
      </c>
      <c r="O208" s="1" t="s">
        <v>222</v>
      </c>
    </row>
    <row r="209" spans="11:15" hidden="1" x14ac:dyDescent="0.2">
      <c r="K209" s="1">
        <v>208</v>
      </c>
      <c r="L209" s="1" t="s">
        <v>209</v>
      </c>
      <c r="N209" s="1" t="b">
        <f t="shared" si="3"/>
        <v>0</v>
      </c>
      <c r="O209" s="1" t="s">
        <v>222</v>
      </c>
    </row>
    <row r="210" spans="11:15" hidden="1" x14ac:dyDescent="0.2">
      <c r="K210" s="1">
        <v>209</v>
      </c>
      <c r="L210" s="1" t="s">
        <v>210</v>
      </c>
      <c r="N210" s="1" t="b">
        <f t="shared" si="3"/>
        <v>0</v>
      </c>
      <c r="O210" s="1" t="s">
        <v>222</v>
      </c>
    </row>
    <row r="211" spans="11:15" hidden="1" x14ac:dyDescent="0.2">
      <c r="K211" s="1">
        <v>210</v>
      </c>
      <c r="L211" s="1" t="s">
        <v>211</v>
      </c>
      <c r="M211" s="1" t="s">
        <v>211</v>
      </c>
      <c r="N211" s="1" t="b">
        <f t="shared" si="3"/>
        <v>1</v>
      </c>
      <c r="O211" s="1" t="s">
        <v>222</v>
      </c>
    </row>
    <row r="212" spans="11:15" hidden="1" x14ac:dyDescent="0.2">
      <c r="K212" s="1">
        <v>211</v>
      </c>
      <c r="L212" s="1" t="s">
        <v>212</v>
      </c>
      <c r="M212" s="1" t="s">
        <v>212</v>
      </c>
      <c r="N212" s="1" t="b">
        <f t="shared" si="3"/>
        <v>1</v>
      </c>
      <c r="O212" s="1" t="s">
        <v>222</v>
      </c>
    </row>
    <row r="213" spans="11:15" hidden="1" x14ac:dyDescent="0.2">
      <c r="K213" s="1">
        <v>212</v>
      </c>
      <c r="L213" s="1" t="s">
        <v>213</v>
      </c>
      <c r="N213" s="1" t="b">
        <f t="shared" si="3"/>
        <v>0</v>
      </c>
      <c r="O213" s="1" t="s">
        <v>222</v>
      </c>
    </row>
    <row r="214" spans="11:15" hidden="1" x14ac:dyDescent="0.2">
      <c r="K214" s="1">
        <v>213</v>
      </c>
      <c r="L214" s="1" t="s">
        <v>214</v>
      </c>
      <c r="M214" s="1" t="s">
        <v>214</v>
      </c>
      <c r="N214" s="1" t="b">
        <f t="shared" si="3"/>
        <v>1</v>
      </c>
      <c r="O214" s="1" t="s">
        <v>222</v>
      </c>
    </row>
    <row r="215" spans="11:15" hidden="1" x14ac:dyDescent="0.2">
      <c r="K215" s="1">
        <v>214</v>
      </c>
      <c r="L215" s="1" t="s">
        <v>215</v>
      </c>
      <c r="M215" s="1" t="s">
        <v>215</v>
      </c>
      <c r="N215" s="1" t="b">
        <f t="shared" si="3"/>
        <v>1</v>
      </c>
      <c r="O215" s="1" t="s">
        <v>222</v>
      </c>
    </row>
    <row r="216" spans="11:15" hidden="1" x14ac:dyDescent="0.2">
      <c r="K216" s="1">
        <v>215</v>
      </c>
      <c r="L216" s="1" t="s">
        <v>216</v>
      </c>
      <c r="M216" s="1" t="s">
        <v>216</v>
      </c>
      <c r="N216" s="1" t="b">
        <f t="shared" si="3"/>
        <v>1</v>
      </c>
      <c r="O216" s="1" t="s">
        <v>222</v>
      </c>
    </row>
    <row r="217" spans="11:15" hidden="1" x14ac:dyDescent="0.2">
      <c r="K217" s="1">
        <v>216</v>
      </c>
      <c r="L217" s="1" t="s">
        <v>217</v>
      </c>
      <c r="N217" s="1" t="b">
        <f t="shared" si="3"/>
        <v>0</v>
      </c>
      <c r="O217" s="1" t="s">
        <v>222</v>
      </c>
    </row>
    <row r="218" spans="11:15" x14ac:dyDescent="0.2">
      <c r="K218" s="1">
        <v>217</v>
      </c>
      <c r="L218" s="1" t="s">
        <v>218</v>
      </c>
      <c r="M218" s="1" t="s">
        <v>218</v>
      </c>
      <c r="N218" s="1" t="b">
        <f t="shared" si="3"/>
        <v>1</v>
      </c>
      <c r="O218" s="1" t="s">
        <v>221</v>
      </c>
    </row>
    <row r="219" spans="11:15" hidden="1" x14ac:dyDescent="0.2">
      <c r="K219" s="1">
        <v>218</v>
      </c>
      <c r="L219" s="1" t="s">
        <v>219</v>
      </c>
      <c r="M219" s="1" t="s">
        <v>219</v>
      </c>
      <c r="N219" s="1" t="b">
        <f t="shared" si="3"/>
        <v>1</v>
      </c>
      <c r="O219" s="1" t="s">
        <v>222</v>
      </c>
    </row>
    <row r="220" spans="11:15" hidden="1" x14ac:dyDescent="0.2">
      <c r="K220" s="1">
        <v>219</v>
      </c>
      <c r="L220" s="1" t="s">
        <v>220</v>
      </c>
      <c r="N220" s="1" t="b">
        <f t="shared" si="3"/>
        <v>0</v>
      </c>
      <c r="O220" s="1" t="s">
        <v>222</v>
      </c>
    </row>
  </sheetData>
  <autoFilter ref="K1:O220" xr:uid="{00000000-0009-0000-0000-000000000000}">
    <filterColumn colId="3">
      <filters>
        <filter val="ИСТИНА"/>
      </filters>
    </filterColumn>
    <filterColumn colId="4">
      <filters>
        <filter val="Управляющая компания"/>
      </filters>
    </filterColumn>
  </autoFilter>
  <phoneticPr fontId="43" type="noConversion"/>
  <conditionalFormatting sqref="A1:XFD1048576">
    <cfRule type="cellIs" dxfId="0" priority="1" stopIfTrue="1" operator="equal">
      <formula>TRUE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filterMode="1">
    <pageSetUpPr fitToPage="1"/>
  </sheetPr>
  <dimension ref="A1:G95"/>
  <sheetViews>
    <sheetView view="pageBreakPreview" topLeftCell="A36" zoomScale="70" zoomScaleNormal="100" zoomScaleSheetLayoutView="70" workbookViewId="0">
      <selection activeCell="B81" sqref="B81"/>
    </sheetView>
  </sheetViews>
  <sheetFormatPr defaultRowHeight="12.75" x14ac:dyDescent="0.2"/>
  <cols>
    <col min="1" max="1" width="96.42578125" customWidth="1"/>
    <col min="2" max="2" width="17" customWidth="1"/>
    <col min="3" max="4" width="13.85546875" customWidth="1"/>
    <col min="5" max="5" width="14.140625" customWidth="1"/>
    <col min="6" max="6" width="12.42578125" customWidth="1"/>
    <col min="7" max="7" width="12.42578125" bestFit="1" customWidth="1"/>
  </cols>
  <sheetData>
    <row r="1" spans="1:4" ht="16.5" customHeight="1" x14ac:dyDescent="0.25">
      <c r="A1" s="313" t="s">
        <v>224</v>
      </c>
      <c r="B1" s="313"/>
      <c r="C1" s="77"/>
      <c r="D1" s="77"/>
    </row>
    <row r="2" spans="1:4" ht="16.5" x14ac:dyDescent="0.25">
      <c r="A2" s="315" t="s">
        <v>225</v>
      </c>
      <c r="B2" s="315"/>
      <c r="C2" s="77"/>
      <c r="D2" s="77"/>
    </row>
    <row r="3" spans="1:4" ht="16.5" x14ac:dyDescent="0.25">
      <c r="A3" s="315" t="s">
        <v>226</v>
      </c>
      <c r="B3" s="315"/>
      <c r="C3" s="77"/>
      <c r="D3" s="77"/>
    </row>
    <row r="4" spans="1:4" s="3" customFormat="1" ht="15.75" x14ac:dyDescent="0.25">
      <c r="A4" s="4" t="s">
        <v>516</v>
      </c>
      <c r="B4" s="4"/>
    </row>
    <row r="5" spans="1:4" ht="15.75" x14ac:dyDescent="0.25">
      <c r="A5" s="4" t="s">
        <v>20</v>
      </c>
      <c r="B5" s="4"/>
      <c r="C5" s="77"/>
      <c r="D5" s="77"/>
    </row>
    <row r="6" spans="1:4" ht="5.25" customHeight="1" x14ac:dyDescent="0.25">
      <c r="A6" s="4"/>
      <c r="B6" s="8"/>
      <c r="C6" s="79"/>
      <c r="D6" s="77"/>
    </row>
    <row r="7" spans="1:4" s="3" customFormat="1" ht="16.5" thickBot="1" x14ac:dyDescent="0.3">
      <c r="A7" s="9"/>
      <c r="B7" s="8"/>
      <c r="C7" s="8"/>
    </row>
    <row r="8" spans="1:4" ht="15.75" customHeight="1" x14ac:dyDescent="0.2">
      <c r="A8" s="335" t="s">
        <v>227</v>
      </c>
      <c r="B8" s="337" t="s">
        <v>228</v>
      </c>
      <c r="C8" s="307" t="s">
        <v>229</v>
      </c>
      <c r="D8" s="307" t="s">
        <v>230</v>
      </c>
    </row>
    <row r="9" spans="1:4" ht="28.5" customHeight="1" thickBot="1" x14ac:dyDescent="0.25">
      <c r="A9" s="336"/>
      <c r="B9" s="338"/>
      <c r="C9" s="308"/>
      <c r="D9" s="308"/>
    </row>
    <row r="10" spans="1:4" s="212" customFormat="1" ht="16.5" thickBot="1" x14ac:dyDescent="0.3">
      <c r="A10" s="209" t="s">
        <v>231</v>
      </c>
      <c r="B10" s="302">
        <f>VLOOKUP(A5,мкд!S:T,2,FALSE)</f>
        <v>3352010.6855650614</v>
      </c>
      <c r="C10" s="211"/>
      <c r="D10" s="211"/>
    </row>
    <row r="11" spans="1:4" s="212" customFormat="1" ht="16.5" hidden="1" thickBot="1" x14ac:dyDescent="0.3">
      <c r="A11" s="213" t="s">
        <v>232</v>
      </c>
      <c r="B11" s="214"/>
      <c r="C11" s="215"/>
      <c r="D11" s="215"/>
    </row>
    <row r="12" spans="1:4" ht="15.75" x14ac:dyDescent="0.25">
      <c r="A12" s="216" t="s">
        <v>233</v>
      </c>
      <c r="B12" s="217"/>
      <c r="C12" s="17" t="s">
        <v>234</v>
      </c>
      <c r="D12" s="18" t="s">
        <v>234</v>
      </c>
    </row>
    <row r="13" spans="1:4" s="3" customFormat="1" ht="15.75" hidden="1" x14ac:dyDescent="0.25">
      <c r="A13" s="19" t="s">
        <v>235</v>
      </c>
      <c r="B13" s="20">
        <v>6091.9</v>
      </c>
      <c r="C13" s="21" t="s">
        <v>234</v>
      </c>
      <c r="D13" s="22" t="s">
        <v>234</v>
      </c>
    </row>
    <row r="14" spans="1:4" s="3" customFormat="1" ht="15.75" hidden="1" x14ac:dyDescent="0.25">
      <c r="A14" s="19" t="s">
        <v>236</v>
      </c>
      <c r="B14" s="20">
        <v>747.8</v>
      </c>
      <c r="C14" s="21"/>
      <c r="D14" s="22"/>
    </row>
    <row r="15" spans="1:4" s="3" customFormat="1" ht="15.75" x14ac:dyDescent="0.25">
      <c r="A15" s="219" t="s">
        <v>237</v>
      </c>
      <c r="B15" s="23">
        <f>B13+B14</f>
        <v>6839.7</v>
      </c>
      <c r="C15" s="21"/>
      <c r="D15" s="22"/>
    </row>
    <row r="16" spans="1:4" s="3" customFormat="1" ht="15.75" x14ac:dyDescent="0.25">
      <c r="A16" s="219" t="s">
        <v>238</v>
      </c>
      <c r="B16" s="23">
        <f>2767.2+1909.3/3</f>
        <v>3403.6333333333332</v>
      </c>
      <c r="C16" s="21" t="s">
        <v>234</v>
      </c>
      <c r="D16" s="22" t="s">
        <v>234</v>
      </c>
    </row>
    <row r="17" spans="1:7" s="270" customFormat="1" ht="15.75" hidden="1" x14ac:dyDescent="0.25">
      <c r="A17" s="19" t="s">
        <v>239</v>
      </c>
      <c r="B17" s="20">
        <v>0</v>
      </c>
      <c r="C17" s="274" t="s">
        <v>234</v>
      </c>
      <c r="D17" s="269" t="s">
        <v>234</v>
      </c>
    </row>
    <row r="18" spans="1:7" s="3" customFormat="1" ht="15.75" hidden="1" x14ac:dyDescent="0.25">
      <c r="A18" s="19" t="s">
        <v>240</v>
      </c>
      <c r="B18" s="20">
        <v>691.5</v>
      </c>
      <c r="C18" s="21" t="s">
        <v>234</v>
      </c>
      <c r="D18" s="22" t="s">
        <v>234</v>
      </c>
    </row>
    <row r="19" spans="1:7" s="3" customFormat="1" ht="15.75" hidden="1" x14ac:dyDescent="0.25">
      <c r="A19" s="19" t="s">
        <v>241</v>
      </c>
      <c r="B19" s="20">
        <v>1162</v>
      </c>
      <c r="C19" s="21" t="s">
        <v>234</v>
      </c>
      <c r="D19" s="22" t="s">
        <v>234</v>
      </c>
    </row>
    <row r="20" spans="1:7" s="3" customFormat="1" ht="15.75" hidden="1" x14ac:dyDescent="0.25">
      <c r="A20" s="19" t="s">
        <v>242</v>
      </c>
      <c r="B20" s="20">
        <v>1862</v>
      </c>
      <c r="C20" s="21"/>
      <c r="D20" s="22"/>
    </row>
    <row r="21" spans="1:7" s="3" customFormat="1" ht="15.75" hidden="1" x14ac:dyDescent="0.25">
      <c r="A21" s="19" t="s">
        <v>243</v>
      </c>
      <c r="B21" s="20">
        <v>3</v>
      </c>
      <c r="C21" s="21" t="s">
        <v>234</v>
      </c>
      <c r="D21" s="22" t="s">
        <v>234</v>
      </c>
    </row>
    <row r="22" spans="1:7" s="3" customFormat="1" ht="15.75" hidden="1" x14ac:dyDescent="0.25">
      <c r="A22" s="19" t="s">
        <v>244</v>
      </c>
      <c r="B22" s="20">
        <v>229</v>
      </c>
      <c r="C22" s="21"/>
      <c r="D22" s="22"/>
    </row>
    <row r="23" spans="1:7" ht="15.75" x14ac:dyDescent="0.25">
      <c r="A23" s="219"/>
      <c r="B23" s="23"/>
      <c r="C23" s="21"/>
      <c r="D23" s="22"/>
      <c r="E23" s="77">
        <v>10</v>
      </c>
      <c r="F23" s="77">
        <v>2</v>
      </c>
      <c r="G23" s="77"/>
    </row>
    <row r="24" spans="1:7" s="3" customFormat="1" ht="15.75" x14ac:dyDescent="0.25">
      <c r="A24" s="220" t="s">
        <v>319</v>
      </c>
      <c r="B24" s="275">
        <f>VLOOKUP(A5,'[5]Лист  1'!M$1:N$65536,2,FALSE)</f>
        <v>1522487.7999999998</v>
      </c>
      <c r="C24" s="21"/>
      <c r="D24" s="22"/>
      <c r="E24" s="26">
        <v>20.419999999999998</v>
      </c>
      <c r="F24" s="256">
        <v>22.858147999999996</v>
      </c>
    </row>
    <row r="25" spans="1:7" s="3" customFormat="1" ht="15.75" x14ac:dyDescent="0.25">
      <c r="A25" s="220" t="s">
        <v>320</v>
      </c>
      <c r="B25" s="276">
        <f>VLOOKUP(A5,'[5]Лист  1'!M$1:O$65536,3,FALSE)</f>
        <v>1442812.6</v>
      </c>
      <c r="C25" s="21"/>
      <c r="D25" s="22"/>
    </row>
    <row r="26" spans="1:7" s="3" customFormat="1" ht="15.75" x14ac:dyDescent="0.25">
      <c r="A26" s="220" t="s">
        <v>353</v>
      </c>
      <c r="B26" s="28">
        <v>198786.37</v>
      </c>
      <c r="C26" s="21"/>
      <c r="D26" s="22"/>
    </row>
    <row r="27" spans="1:7" s="3" customFormat="1" ht="15.75" x14ac:dyDescent="0.25">
      <c r="A27" s="220" t="s">
        <v>354</v>
      </c>
      <c r="B27" s="28">
        <v>156764.91</v>
      </c>
      <c r="C27" s="21"/>
      <c r="D27" s="22"/>
    </row>
    <row r="28" spans="1:7" s="3" customFormat="1" ht="15.75" hidden="1" x14ac:dyDescent="0.25">
      <c r="A28" s="220" t="s">
        <v>399</v>
      </c>
      <c r="B28" s="28"/>
      <c r="C28" s="21"/>
      <c r="D28" s="22"/>
    </row>
    <row r="29" spans="1:7" s="3" customFormat="1" ht="15.75" hidden="1" x14ac:dyDescent="0.25">
      <c r="A29" s="220" t="s">
        <v>250</v>
      </c>
      <c r="B29" s="23"/>
      <c r="C29" s="21"/>
      <c r="D29" s="22"/>
    </row>
    <row r="30" spans="1:7" ht="15.75" x14ac:dyDescent="0.25">
      <c r="A30" s="221"/>
      <c r="B30" s="23"/>
      <c r="C30" s="21"/>
      <c r="D30" s="22"/>
      <c r="E30" s="77"/>
      <c r="F30" s="77"/>
      <c r="G30" s="77"/>
    </row>
    <row r="31" spans="1:7" ht="14.25" customHeight="1" x14ac:dyDescent="0.25">
      <c r="A31" s="222" t="s">
        <v>251</v>
      </c>
      <c r="B31" s="23"/>
      <c r="C31" s="21"/>
      <c r="D31" s="22"/>
      <c r="E31" s="77"/>
      <c r="F31" s="77"/>
      <c r="G31" s="77"/>
    </row>
    <row r="32" spans="1:7" s="103" customFormat="1" ht="31.5" x14ac:dyDescent="0.25">
      <c r="A32" s="223" t="s">
        <v>252</v>
      </c>
      <c r="B32" s="208">
        <f>SUM(B33:B41)</f>
        <v>189215.46000000002</v>
      </c>
      <c r="C32" s="21"/>
      <c r="D32" s="22"/>
      <c r="E32" s="102">
        <f>(B86-B24-B26)/1.2/1.03</f>
        <v>11525.327180370687</v>
      </c>
      <c r="F32" s="102" t="e">
        <f>(#REF!-#REF!-#REF!)/1.2/1.03</f>
        <v>#REF!</v>
      </c>
      <c r="G32" s="102" t="e">
        <f>(#REF!-#REF!-#REF!)/1.2/1.03</f>
        <v>#REF!</v>
      </c>
    </row>
    <row r="33" spans="1:7" ht="15.75" x14ac:dyDescent="0.25">
      <c r="A33" s="224" t="s">
        <v>253</v>
      </c>
      <c r="B33" s="262">
        <f>44000*1.12</f>
        <v>49280.000000000007</v>
      </c>
      <c r="C33" s="21"/>
      <c r="D33" s="22">
        <v>44756.44</v>
      </c>
      <c r="E33" s="77"/>
      <c r="F33" s="77"/>
      <c r="G33" s="77"/>
    </row>
    <row r="34" spans="1:7" ht="15.75" x14ac:dyDescent="0.25">
      <c r="A34" s="277" t="s">
        <v>466</v>
      </c>
      <c r="B34" s="258">
        <v>28949.200000000001</v>
      </c>
      <c r="C34" s="21"/>
      <c r="D34" s="22">
        <v>3447.37</v>
      </c>
      <c r="E34" s="77"/>
      <c r="F34" s="77"/>
      <c r="G34" s="77"/>
    </row>
    <row r="35" spans="1:7" ht="15.75" x14ac:dyDescent="0.25">
      <c r="A35" s="277" t="s">
        <v>442</v>
      </c>
      <c r="B35" s="258">
        <v>1432.43</v>
      </c>
      <c r="C35" s="21"/>
      <c r="D35" s="22">
        <v>0</v>
      </c>
      <c r="E35" s="77"/>
      <c r="F35" s="77"/>
      <c r="G35" s="77"/>
    </row>
    <row r="36" spans="1:7" ht="15.75" x14ac:dyDescent="0.25">
      <c r="A36" s="277" t="s">
        <v>466</v>
      </c>
      <c r="B36" s="278">
        <v>18329.599999999999</v>
      </c>
      <c r="C36" s="21" t="s">
        <v>234</v>
      </c>
      <c r="D36" s="22">
        <v>21260.6</v>
      </c>
      <c r="E36" s="77"/>
      <c r="F36" s="77"/>
      <c r="G36" s="77"/>
    </row>
    <row r="37" spans="1:7" ht="15.75" x14ac:dyDescent="0.25">
      <c r="A37" s="257" t="s">
        <v>443</v>
      </c>
      <c r="B37" s="259">
        <v>21009.7</v>
      </c>
      <c r="C37" s="21"/>
      <c r="D37" s="22">
        <v>228459.5</v>
      </c>
      <c r="E37" s="77"/>
      <c r="F37" s="77"/>
      <c r="G37" s="77"/>
    </row>
    <row r="38" spans="1:7" ht="15.75" x14ac:dyDescent="0.25">
      <c r="A38" s="257" t="s">
        <v>467</v>
      </c>
      <c r="B38" s="260">
        <v>22569.03</v>
      </c>
      <c r="C38" s="21"/>
      <c r="D38" s="22">
        <v>0</v>
      </c>
      <c r="E38" s="77"/>
      <c r="F38" s="77"/>
      <c r="G38" s="77"/>
    </row>
    <row r="39" spans="1:7" ht="15.75" x14ac:dyDescent="0.25">
      <c r="A39" s="257" t="s">
        <v>468</v>
      </c>
      <c r="B39" s="260">
        <v>3913.75</v>
      </c>
      <c r="C39" s="21"/>
      <c r="D39" s="22">
        <v>0</v>
      </c>
      <c r="E39" s="77"/>
      <c r="F39" s="77"/>
      <c r="G39" s="77"/>
    </row>
    <row r="40" spans="1:7" ht="15.75" x14ac:dyDescent="0.25">
      <c r="A40" s="257" t="s">
        <v>377</v>
      </c>
      <c r="B40" s="260">
        <v>38534.21</v>
      </c>
      <c r="C40" s="21"/>
      <c r="D40" s="22"/>
      <c r="E40" s="77"/>
      <c r="F40" s="77"/>
      <c r="G40" s="77"/>
    </row>
    <row r="41" spans="1:7" ht="15.75" x14ac:dyDescent="0.25">
      <c r="A41" s="257" t="s">
        <v>469</v>
      </c>
      <c r="B41" s="260">
        <v>5197.54</v>
      </c>
      <c r="C41" s="21"/>
      <c r="D41" s="22">
        <v>64111.29</v>
      </c>
      <c r="E41" s="77"/>
      <c r="F41" s="77"/>
      <c r="G41" s="77"/>
    </row>
    <row r="42" spans="1:7" s="103" customFormat="1" ht="47.25" x14ac:dyDescent="0.25">
      <c r="A42" s="223" t="s">
        <v>261</v>
      </c>
      <c r="B42" s="208">
        <f>SUM(B43:B45)</f>
        <v>92950.818946396699</v>
      </c>
      <c r="C42" s="21"/>
      <c r="D42" s="22"/>
      <c r="E42" s="102"/>
      <c r="F42" s="102"/>
      <c r="G42" s="102"/>
    </row>
    <row r="43" spans="1:7" ht="15.75" x14ac:dyDescent="0.25">
      <c r="A43" s="224" t="s">
        <v>262</v>
      </c>
      <c r="B43" s="23">
        <v>4300</v>
      </c>
      <c r="C43" s="39"/>
      <c r="D43" s="40">
        <v>9752.2999999999993</v>
      </c>
      <c r="E43" s="77"/>
      <c r="F43" s="77"/>
      <c r="G43" s="77"/>
    </row>
    <row r="44" spans="1:7" ht="15.75" x14ac:dyDescent="0.25">
      <c r="A44" s="224" t="s">
        <v>263</v>
      </c>
      <c r="B44" s="23">
        <v>52141</v>
      </c>
      <c r="C44" s="39"/>
      <c r="D44" s="40">
        <v>9594.1</v>
      </c>
      <c r="E44" s="77"/>
      <c r="F44" s="77"/>
      <c r="G44" s="77"/>
    </row>
    <row r="45" spans="1:7" ht="15.75" x14ac:dyDescent="0.25">
      <c r="A45" s="226" t="s">
        <v>264</v>
      </c>
      <c r="B45" s="23">
        <f>'[6]32тарифы'!D163*B15+198.24*1.12</f>
        <v>36509.818946396706</v>
      </c>
      <c r="C45" s="39"/>
      <c r="D45" s="40"/>
      <c r="E45" s="77"/>
      <c r="F45" s="77"/>
      <c r="G45" s="77"/>
    </row>
    <row r="46" spans="1:7" s="79" customFormat="1" ht="15.75" x14ac:dyDescent="0.25">
      <c r="A46" s="223" t="s">
        <v>265</v>
      </c>
      <c r="B46" s="208">
        <f>SUM(B47:B65)</f>
        <v>235150.5</v>
      </c>
      <c r="C46" s="21"/>
      <c r="D46" s="22"/>
    </row>
    <row r="47" spans="1:7" ht="15.75" x14ac:dyDescent="0.25">
      <c r="A47" s="224" t="s">
        <v>326</v>
      </c>
      <c r="B47" s="23">
        <v>2904.24</v>
      </c>
      <c r="C47" s="21"/>
      <c r="D47" s="22"/>
      <c r="E47" s="77" t="s">
        <v>267</v>
      </c>
      <c r="F47" s="77"/>
      <c r="G47" s="77"/>
    </row>
    <row r="48" spans="1:7" ht="15.75" x14ac:dyDescent="0.25">
      <c r="A48" s="224" t="s">
        <v>317</v>
      </c>
      <c r="B48" s="23">
        <v>3526.62</v>
      </c>
      <c r="C48" s="21"/>
      <c r="D48" s="22"/>
      <c r="E48" s="77" t="s">
        <v>269</v>
      </c>
      <c r="F48" s="77"/>
      <c r="G48" s="77"/>
    </row>
    <row r="49" spans="1:5" ht="15.75" x14ac:dyDescent="0.25">
      <c r="A49" s="42" t="s">
        <v>270</v>
      </c>
      <c r="B49" s="23">
        <f>146750.04</f>
        <v>146750.04</v>
      </c>
      <c r="C49" s="21"/>
      <c r="D49" s="22"/>
      <c r="E49" s="77"/>
    </row>
    <row r="50" spans="1:5" ht="17.25" customHeight="1" x14ac:dyDescent="0.25">
      <c r="A50" s="143" t="s">
        <v>540</v>
      </c>
      <c r="B50" s="20">
        <v>38739.01</v>
      </c>
      <c r="C50" s="21">
        <v>3</v>
      </c>
      <c r="D50" s="22">
        <f>4150.31*3</f>
        <v>12450.93</v>
      </c>
      <c r="E50" s="77"/>
    </row>
    <row r="51" spans="1:5" ht="15.75" x14ac:dyDescent="0.25">
      <c r="A51" s="42" t="s">
        <v>461</v>
      </c>
      <c r="B51" s="23">
        <v>14700</v>
      </c>
      <c r="C51" s="21">
        <v>3</v>
      </c>
      <c r="D51" s="22">
        <v>4190</v>
      </c>
      <c r="E51" s="77"/>
    </row>
    <row r="52" spans="1:5" ht="15.75" x14ac:dyDescent="0.25">
      <c r="A52" s="42" t="s">
        <v>282</v>
      </c>
      <c r="B52" s="23">
        <v>284.98</v>
      </c>
      <c r="C52" s="21">
        <v>3</v>
      </c>
      <c r="D52" s="22">
        <v>0</v>
      </c>
      <c r="E52" s="77"/>
    </row>
    <row r="53" spans="1:5" ht="17.25" customHeight="1" x14ac:dyDescent="0.25">
      <c r="A53" s="143" t="s">
        <v>541</v>
      </c>
      <c r="B53" s="20">
        <v>15912</v>
      </c>
      <c r="C53" s="21">
        <v>3</v>
      </c>
      <c r="D53" s="22">
        <v>105.14</v>
      </c>
      <c r="E53" s="77"/>
    </row>
    <row r="54" spans="1:5" ht="15.75" x14ac:dyDescent="0.25">
      <c r="A54" s="42" t="s">
        <v>275</v>
      </c>
      <c r="B54" s="20">
        <v>8133.61</v>
      </c>
      <c r="C54" s="21">
        <v>0</v>
      </c>
      <c r="D54" s="22">
        <v>522.99</v>
      </c>
      <c r="E54" s="77"/>
    </row>
    <row r="55" spans="1:5" ht="15.75" hidden="1" x14ac:dyDescent="0.25">
      <c r="A55" s="143" t="s">
        <v>348</v>
      </c>
      <c r="B55" s="23"/>
      <c r="C55" s="21">
        <v>0</v>
      </c>
      <c r="D55" s="44">
        <v>695.13</v>
      </c>
      <c r="E55" s="77"/>
    </row>
    <row r="56" spans="1:5" s="3" customFormat="1" ht="15.75" hidden="1" x14ac:dyDescent="0.25">
      <c r="A56" s="143" t="s">
        <v>277</v>
      </c>
      <c r="B56" s="23">
        <v>0</v>
      </c>
      <c r="C56" s="21"/>
      <c r="D56" s="44"/>
    </row>
    <row r="57" spans="1:5" ht="15.75" hidden="1" x14ac:dyDescent="0.25">
      <c r="A57" s="143" t="s">
        <v>314</v>
      </c>
      <c r="B57" s="23">
        <v>0</v>
      </c>
      <c r="C57" s="21">
        <v>0</v>
      </c>
      <c r="D57" s="22">
        <f>10695.76/1.18</f>
        <v>9064.203389830509</v>
      </c>
      <c r="E57" s="77"/>
    </row>
    <row r="58" spans="1:5" ht="15.75" hidden="1" x14ac:dyDescent="0.25">
      <c r="A58" s="143" t="s">
        <v>315</v>
      </c>
      <c r="B58" s="23">
        <v>0</v>
      </c>
      <c r="C58" s="21">
        <v>0</v>
      </c>
      <c r="D58" s="22">
        <f>2300/1.18</f>
        <v>1949.1525423728815</v>
      </c>
      <c r="E58" s="77"/>
    </row>
    <row r="59" spans="1:5" ht="15.75" hidden="1" x14ac:dyDescent="0.25">
      <c r="A59" s="143" t="s">
        <v>279</v>
      </c>
      <c r="B59" s="20">
        <f>B13*'[6]32тарифы'!D184</f>
        <v>0</v>
      </c>
      <c r="C59" s="21">
        <v>0</v>
      </c>
      <c r="D59" s="22">
        <v>0</v>
      </c>
      <c r="E59" s="77"/>
    </row>
    <row r="60" spans="1:5" ht="15.75" hidden="1" x14ac:dyDescent="0.25">
      <c r="A60" s="35" t="s">
        <v>280</v>
      </c>
      <c r="B60" s="23">
        <v>0</v>
      </c>
      <c r="C60" s="21"/>
      <c r="D60" s="22"/>
      <c r="E60" s="77"/>
    </row>
    <row r="61" spans="1:5" ht="15.75" hidden="1" x14ac:dyDescent="0.25">
      <c r="A61" s="35" t="s">
        <v>281</v>
      </c>
      <c r="B61" s="23">
        <v>0</v>
      </c>
      <c r="C61" s="21"/>
      <c r="D61" s="22"/>
      <c r="E61" s="77"/>
    </row>
    <row r="62" spans="1:5" ht="15.75" hidden="1" x14ac:dyDescent="0.25">
      <c r="A62" s="224" t="s">
        <v>340</v>
      </c>
      <c r="B62" s="23">
        <v>0</v>
      </c>
      <c r="C62" s="21"/>
      <c r="D62" s="22">
        <v>0</v>
      </c>
      <c r="E62" s="77"/>
    </row>
    <row r="63" spans="1:5" ht="15.75" hidden="1" x14ac:dyDescent="0.25">
      <c r="A63" s="224" t="s">
        <v>327</v>
      </c>
      <c r="B63" s="23">
        <v>0</v>
      </c>
      <c r="C63" s="21"/>
      <c r="D63" s="22">
        <v>0</v>
      </c>
      <c r="E63" s="77"/>
    </row>
    <row r="64" spans="1:5" ht="15.75" hidden="1" x14ac:dyDescent="0.25">
      <c r="A64" s="35" t="s">
        <v>284</v>
      </c>
      <c r="B64" s="229"/>
      <c r="C64" s="46">
        <v>89</v>
      </c>
      <c r="D64" s="22">
        <v>2</v>
      </c>
      <c r="E64" s="77">
        <v>0</v>
      </c>
    </row>
    <row r="65" spans="1:5" ht="15" customHeight="1" x14ac:dyDescent="0.25">
      <c r="A65" s="35" t="s">
        <v>542</v>
      </c>
      <c r="B65" s="229">
        <v>4200</v>
      </c>
      <c r="C65" s="48"/>
      <c r="D65" s="40">
        <v>0</v>
      </c>
      <c r="E65" s="77"/>
    </row>
    <row r="66" spans="1:5" s="79" customFormat="1" ht="15.75" x14ac:dyDescent="0.25">
      <c r="A66" s="230" t="s">
        <v>286</v>
      </c>
      <c r="B66" s="208">
        <f>SUM(B67:B74)</f>
        <v>412529.0558574457</v>
      </c>
      <c r="C66" s="39"/>
      <c r="D66" s="40"/>
      <c r="E66" s="279">
        <f>B80+B46+438.95-3448.31</f>
        <v>251453.31</v>
      </c>
    </row>
    <row r="67" spans="1:5" ht="15.75" hidden="1" x14ac:dyDescent="0.25">
      <c r="A67" s="35" t="s">
        <v>287</v>
      </c>
      <c r="B67" s="23">
        <v>0</v>
      </c>
      <c r="C67" s="39"/>
      <c r="D67" s="40"/>
      <c r="E67" s="77"/>
    </row>
    <row r="68" spans="1:5" ht="15.75" hidden="1" x14ac:dyDescent="0.25">
      <c r="A68" s="224" t="s">
        <v>288</v>
      </c>
      <c r="B68" s="232"/>
      <c r="C68" s="39"/>
      <c r="D68" s="40"/>
      <c r="E68" s="77"/>
    </row>
    <row r="69" spans="1:5" ht="15.75" hidden="1" x14ac:dyDescent="0.25">
      <c r="A69" s="35" t="s">
        <v>289</v>
      </c>
      <c r="B69" s="23">
        <v>0</v>
      </c>
      <c r="C69" s="39"/>
      <c r="D69" s="40"/>
      <c r="E69" s="77"/>
    </row>
    <row r="70" spans="1:5" ht="15.75" x14ac:dyDescent="0.25">
      <c r="A70" s="226" t="s">
        <v>290</v>
      </c>
      <c r="B70" s="23">
        <f>'[6]32тарифы'!D164*B13*1.12</f>
        <v>7522.0879225952267</v>
      </c>
      <c r="C70" s="39"/>
      <c r="D70" s="40"/>
      <c r="E70" s="77"/>
    </row>
    <row r="71" spans="1:5" ht="15.75" x14ac:dyDescent="0.25">
      <c r="A71" s="226" t="s">
        <v>291</v>
      </c>
      <c r="B71" s="23">
        <f>'[6]32тарифы'!D165*B15*1.12</f>
        <v>43740.383326850475</v>
      </c>
      <c r="C71" s="39"/>
      <c r="D71" s="40"/>
      <c r="E71" s="77"/>
    </row>
    <row r="72" spans="1:5" s="3" customFormat="1" ht="15.75" x14ac:dyDescent="0.25">
      <c r="A72" s="226" t="s">
        <v>292</v>
      </c>
      <c r="B72" s="23">
        <f>69856.75*1.04*1.12</f>
        <v>81369.142400000012</v>
      </c>
      <c r="C72" s="39"/>
      <c r="D72" s="40"/>
    </row>
    <row r="73" spans="1:5" s="3" customFormat="1" ht="15.75" x14ac:dyDescent="0.25">
      <c r="A73" s="226" t="s">
        <v>293</v>
      </c>
      <c r="B73" s="23">
        <f>11853.46*1.04*1.12</f>
        <v>13806.910207999999</v>
      </c>
      <c r="C73" s="39"/>
      <c r="D73" s="40"/>
    </row>
    <row r="74" spans="1:5" ht="15.75" x14ac:dyDescent="0.25">
      <c r="A74" s="226" t="s">
        <v>294</v>
      </c>
      <c r="B74" s="23">
        <f>100087.05*1.04+50000+100000*1.12</f>
        <v>266090.53200000001</v>
      </c>
      <c r="C74" s="39"/>
      <c r="D74" s="40"/>
      <c r="E74" s="77"/>
    </row>
    <row r="75" spans="1:5" ht="41.25" x14ac:dyDescent="0.25">
      <c r="A75" s="233" t="s">
        <v>462</v>
      </c>
      <c r="B75" s="208">
        <f>SUM(B76:B76)</f>
        <v>207200.00000000003</v>
      </c>
      <c r="C75" s="39"/>
      <c r="D75" s="40"/>
      <c r="E75" s="77"/>
    </row>
    <row r="76" spans="1:5" ht="15.75" x14ac:dyDescent="0.25">
      <c r="A76" s="226" t="s">
        <v>296</v>
      </c>
      <c r="B76" s="23">
        <f>185000*1.12</f>
        <v>207200.00000000003</v>
      </c>
      <c r="C76" s="39"/>
      <c r="D76" s="40"/>
      <c r="E76" s="77"/>
    </row>
    <row r="77" spans="1:5" s="79" customFormat="1" ht="15.75" x14ac:dyDescent="0.25">
      <c r="A77" s="230" t="s">
        <v>297</v>
      </c>
      <c r="B77" s="208">
        <f>SUM(B78:B81)</f>
        <v>267096.13477135013</v>
      </c>
      <c r="C77" s="39"/>
      <c r="D77" s="40"/>
    </row>
    <row r="78" spans="1:5" ht="15.75" x14ac:dyDescent="0.25">
      <c r="A78" s="234" t="s">
        <v>298</v>
      </c>
      <c r="B78" s="23">
        <f>'[6]32тарифы'!D170*B15*1.12</f>
        <v>165068.75033167726</v>
      </c>
      <c r="C78" s="39"/>
      <c r="D78" s="40"/>
      <c r="E78" s="77"/>
    </row>
    <row r="79" spans="1:5" s="3" customFormat="1" ht="17.25" customHeight="1" x14ac:dyDescent="0.25">
      <c r="A79" s="234" t="s">
        <v>299</v>
      </c>
      <c r="B79" s="23">
        <v>69324</v>
      </c>
      <c r="C79" s="39"/>
      <c r="D79" s="40"/>
    </row>
    <row r="80" spans="1:5" ht="15.75" x14ac:dyDescent="0.25">
      <c r="A80" s="273" t="s">
        <v>463</v>
      </c>
      <c r="B80" s="23">
        <f>12019.32+7292.85</f>
        <v>19312.169999999998</v>
      </c>
      <c r="C80" s="39"/>
      <c r="D80" s="40">
        <f>6357.93+952.32+960.96+2304.96</f>
        <v>10576.169999999998</v>
      </c>
      <c r="E80" s="77"/>
    </row>
    <row r="81" spans="1:4" ht="15.75" x14ac:dyDescent="0.25">
      <c r="A81" s="273" t="s">
        <v>464</v>
      </c>
      <c r="B81" s="23">
        <f>'[6]32тарифы'!D173*B13*1.12</f>
        <v>13391.214439672904</v>
      </c>
      <c r="C81" s="39"/>
      <c r="D81" s="40"/>
    </row>
    <row r="82" spans="1:4" ht="15.75" x14ac:dyDescent="0.25">
      <c r="A82" s="236" t="s">
        <v>302</v>
      </c>
      <c r="B82" s="28">
        <f>B32+B42+B46+B66+B75+B77</f>
        <v>1404141.9695751925</v>
      </c>
      <c r="C82" s="39"/>
      <c r="D82" s="40"/>
    </row>
    <row r="83" spans="1:4" ht="15.75" x14ac:dyDescent="0.25">
      <c r="A83" s="237" t="s">
        <v>303</v>
      </c>
      <c r="B83" s="23">
        <f>B82*0.03</f>
        <v>42124.259087255778</v>
      </c>
      <c r="C83" s="39"/>
      <c r="D83" s="40"/>
    </row>
    <row r="84" spans="1:4" s="103" customFormat="1" ht="15.75" x14ac:dyDescent="0.25">
      <c r="A84" s="238" t="s">
        <v>304</v>
      </c>
      <c r="B84" s="208">
        <f>B82+B83</f>
        <v>1446266.2286624482</v>
      </c>
      <c r="C84" s="39"/>
      <c r="D84" s="40"/>
    </row>
    <row r="85" spans="1:4" s="3" customFormat="1" ht="16.5" thickBot="1" x14ac:dyDescent="0.3">
      <c r="A85" s="239" t="s">
        <v>305</v>
      </c>
      <c r="B85" s="240">
        <f>B84*0.2</f>
        <v>289253.24573248968</v>
      </c>
      <c r="C85" s="39"/>
      <c r="D85" s="40"/>
    </row>
    <row r="86" spans="1:4" s="79" customFormat="1" ht="16.5" thickBot="1" x14ac:dyDescent="0.3">
      <c r="A86" s="58" t="s">
        <v>306</v>
      </c>
      <c r="B86" s="66">
        <f>B84+B85</f>
        <v>1735519.474394938</v>
      </c>
      <c r="C86" s="60"/>
      <c r="D86" s="61"/>
    </row>
    <row r="87" spans="1:4" s="8" customFormat="1" ht="16.5" thickBot="1" x14ac:dyDescent="0.3">
      <c r="A87" s="62" t="s">
        <v>307</v>
      </c>
      <c r="B87" s="296">
        <f>B10+B24+B26+B28+B29-B86</f>
        <v>3337765.3811701229</v>
      </c>
      <c r="C87" s="63"/>
      <c r="D87" s="63"/>
    </row>
    <row r="88" spans="1:4" s="8" customFormat="1" ht="16.5" thickBot="1" x14ac:dyDescent="0.3">
      <c r="A88" s="64" t="s">
        <v>308</v>
      </c>
      <c r="B88" s="66">
        <f>B10+B25+B27+B28+B29-B86</f>
        <v>3216068.7211701237</v>
      </c>
      <c r="C88" s="63"/>
      <c r="D88" s="63"/>
    </row>
    <row r="89" spans="1:4" s="8" customFormat="1" ht="16.5" hidden="1" thickBot="1" x14ac:dyDescent="0.3">
      <c r="A89" s="241" t="s">
        <v>309</v>
      </c>
      <c r="B89" s="66">
        <f>B11+B24-B25</f>
        <v>79675.199999999721</v>
      </c>
      <c r="C89" s="63"/>
      <c r="D89" s="63"/>
    </row>
    <row r="90" spans="1:4" ht="15.75" hidden="1" x14ac:dyDescent="0.25">
      <c r="A90" s="77"/>
      <c r="B90" s="227"/>
      <c r="C90" s="77"/>
      <c r="D90" s="77"/>
    </row>
    <row r="91" spans="1:4" ht="15.75" x14ac:dyDescent="0.25">
      <c r="A91" s="69"/>
      <c r="B91" s="3"/>
      <c r="C91" s="77"/>
      <c r="D91" s="77"/>
    </row>
    <row r="92" spans="1:4" ht="15.75" x14ac:dyDescent="0.25">
      <c r="A92" s="333" t="s">
        <v>407</v>
      </c>
      <c r="B92" s="333"/>
      <c r="C92" s="77"/>
      <c r="D92" s="77"/>
    </row>
    <row r="93" spans="1:4" ht="15.75" x14ac:dyDescent="0.25">
      <c r="A93" s="69"/>
      <c r="B93" s="3"/>
      <c r="C93" s="77"/>
      <c r="D93" s="77"/>
    </row>
    <row r="94" spans="1:4" ht="15.75" hidden="1" x14ac:dyDescent="0.25">
      <c r="A94" s="334" t="s">
        <v>408</v>
      </c>
      <c r="B94" s="334"/>
      <c r="C94" s="135"/>
      <c r="D94" s="77"/>
    </row>
    <row r="95" spans="1:4" ht="15.75" x14ac:dyDescent="0.25">
      <c r="A95" s="77"/>
      <c r="B95" s="3"/>
      <c r="C95" s="77"/>
      <c r="D95" s="77"/>
    </row>
  </sheetData>
  <autoFilter ref="A31:G90" xr:uid="{00000000-0009-0000-0000-000009000000}">
    <filterColumn colId="1">
      <filters>
        <filter val="1 432,43"/>
        <filter val="1 526 425,36"/>
        <filter val="1 572 218,12"/>
        <filter val="1 886 661,74"/>
        <filter val="11 509,89"/>
        <filter val="13 391,21"/>
        <filter val="13 806,91"/>
        <filter val="165 068,75"/>
        <filter val="18 329,60"/>
        <filter val="189 215,46"/>
        <filter val="2 904,24"/>
        <filter val="207 200,00"/>
        <filter val="21 009,70"/>
        <filter val="22 569,03"/>
        <filter val="23 485,94"/>
        <filter val="266 090,53"/>
        <filter val="271 269,90"/>
        <filter val="28 949,20"/>
        <filter val="288 000,00"/>
        <filter val="3 153 224,32"/>
        <filter val="3 230 314,03"/>
        <filter val="3 526,62"/>
        <filter val="3 913,75"/>
        <filter val="314 443,62"/>
        <filter val="353 260,12"/>
        <filter val="36 509,82"/>
        <filter val="38 534,21"/>
        <filter val="39 600,00"/>
        <filter val="4 300,00"/>
        <filter val="412 529,06"/>
        <filter val="43 740,38"/>
        <filter val="45 792,76"/>
        <filter val="49 280,00"/>
        <filter val="5 197,54"/>
        <filter val="52 141,00"/>
        <filter val="69 324,00"/>
        <filter val="7 522,09"/>
        <filter val="7 719,37"/>
        <filter val="79 675,20"/>
        <filter val="81 369,14"/>
        <filter val="92 950,82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72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>
    <pageSetUpPr fitToPage="1"/>
  </sheetPr>
  <dimension ref="A1:G94"/>
  <sheetViews>
    <sheetView view="pageBreakPreview" topLeftCell="A35" zoomScale="80" zoomScaleNormal="100" zoomScaleSheetLayoutView="80" workbookViewId="0">
      <selection activeCell="B79" sqref="B79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25" t="s">
        <v>224</v>
      </c>
      <c r="B1" s="340"/>
      <c r="C1" s="77"/>
      <c r="D1" s="77"/>
    </row>
    <row r="2" spans="1:4" ht="16.5" x14ac:dyDescent="0.25">
      <c r="A2" s="326" t="s">
        <v>225</v>
      </c>
      <c r="B2" s="341"/>
      <c r="C2" s="77"/>
      <c r="D2" s="77"/>
    </row>
    <row r="3" spans="1:4" ht="16.5" x14ac:dyDescent="0.25">
      <c r="A3" s="326" t="s">
        <v>226</v>
      </c>
      <c r="B3" s="341"/>
      <c r="C3" s="77"/>
      <c r="D3" s="77"/>
    </row>
    <row r="4" spans="1:4" ht="15.75" x14ac:dyDescent="0.25">
      <c r="A4" s="78" t="s">
        <v>516</v>
      </c>
      <c r="B4" s="136"/>
      <c r="C4" s="77"/>
      <c r="D4" s="77"/>
    </row>
    <row r="5" spans="1:4" ht="15.75" x14ac:dyDescent="0.25">
      <c r="A5" s="78" t="s">
        <v>21</v>
      </c>
      <c r="B5" s="137"/>
      <c r="C5" s="77"/>
      <c r="D5" s="77"/>
    </row>
    <row r="6" spans="1:4" ht="5.25" customHeight="1" x14ac:dyDescent="0.25">
      <c r="A6" s="78"/>
      <c r="B6" s="7"/>
      <c r="C6" s="79"/>
      <c r="D6" s="77"/>
    </row>
    <row r="7" spans="1:4" ht="16.5" thickBot="1" x14ac:dyDescent="0.3">
      <c r="A7" s="80"/>
      <c r="B7" s="7"/>
      <c r="C7" s="79"/>
      <c r="D7" s="77"/>
    </row>
    <row r="8" spans="1:4" ht="15.75" customHeight="1" x14ac:dyDescent="0.2">
      <c r="A8" s="327" t="s">
        <v>227</v>
      </c>
      <c r="B8" s="319" t="s">
        <v>228</v>
      </c>
      <c r="C8" s="331" t="s">
        <v>229</v>
      </c>
      <c r="D8" s="321" t="s">
        <v>230</v>
      </c>
    </row>
    <row r="9" spans="1:4" ht="28.5" customHeight="1" thickBot="1" x14ac:dyDescent="0.25">
      <c r="A9" s="328"/>
      <c r="B9" s="320"/>
      <c r="C9" s="332"/>
      <c r="D9" s="322"/>
    </row>
    <row r="10" spans="1:4" ht="16.5" thickBot="1" x14ac:dyDescent="0.25">
      <c r="A10" s="81" t="s">
        <v>231</v>
      </c>
      <c r="B10" s="302">
        <f>VLOOKUP(A5,мкд!S:T,2,FALSE)</f>
        <v>-826714.27</v>
      </c>
      <c r="C10" s="83"/>
      <c r="D10" s="84"/>
    </row>
    <row r="11" spans="1:4" ht="16.5" hidden="1" thickBot="1" x14ac:dyDescent="0.25">
      <c r="A11" s="85" t="s">
        <v>232</v>
      </c>
      <c r="B11" s="82"/>
      <c r="C11" s="84"/>
      <c r="D11" s="86"/>
    </row>
    <row r="12" spans="1:4" ht="16.5" thickBot="1" x14ac:dyDescent="0.3">
      <c r="A12" s="87" t="s">
        <v>233</v>
      </c>
      <c r="B12" s="88"/>
      <c r="C12" s="89" t="s">
        <v>234</v>
      </c>
      <c r="D12" s="90" t="s">
        <v>234</v>
      </c>
    </row>
    <row r="13" spans="1:4" ht="16.5" hidden="1" thickBot="1" x14ac:dyDescent="0.3">
      <c r="A13" s="91" t="s">
        <v>235</v>
      </c>
      <c r="B13" s="20">
        <v>1541.9</v>
      </c>
      <c r="C13" s="90" t="s">
        <v>234</v>
      </c>
      <c r="D13" s="92" t="s">
        <v>234</v>
      </c>
    </row>
    <row r="14" spans="1:4" ht="16.5" hidden="1" thickBot="1" x14ac:dyDescent="0.3">
      <c r="A14" s="91" t="s">
        <v>236</v>
      </c>
      <c r="B14" s="20">
        <v>0</v>
      </c>
      <c r="C14" s="93"/>
      <c r="D14" s="92"/>
    </row>
    <row r="15" spans="1:4" ht="15.75" x14ac:dyDescent="0.25">
      <c r="A15" s="91" t="s">
        <v>237</v>
      </c>
      <c r="B15" s="20">
        <f>B13+B14</f>
        <v>1541.9</v>
      </c>
      <c r="C15" s="94"/>
      <c r="D15" s="95"/>
    </row>
    <row r="16" spans="1:4" ht="16.5" thickBot="1" x14ac:dyDescent="0.3">
      <c r="A16" s="91" t="s">
        <v>238</v>
      </c>
      <c r="B16" s="20">
        <f>595.67+1929/3</f>
        <v>1238.67</v>
      </c>
      <c r="C16" s="96" t="s">
        <v>234</v>
      </c>
      <c r="D16" s="95" t="s">
        <v>234</v>
      </c>
    </row>
    <row r="17" spans="1:7" ht="16.5" hidden="1" thickBot="1" x14ac:dyDescent="0.3">
      <c r="A17" s="91" t="s">
        <v>239</v>
      </c>
      <c r="B17" s="20">
        <v>0</v>
      </c>
      <c r="C17" s="90" t="s">
        <v>234</v>
      </c>
      <c r="D17" s="92" t="s">
        <v>234</v>
      </c>
      <c r="E17" s="77"/>
      <c r="F17" s="77"/>
      <c r="G17" s="77"/>
    </row>
    <row r="18" spans="1:7" ht="16.5" hidden="1" thickBot="1" x14ac:dyDescent="0.3">
      <c r="A18" s="91" t="s">
        <v>240</v>
      </c>
      <c r="B18" s="20">
        <v>630.6</v>
      </c>
      <c r="C18" s="95" t="s">
        <v>234</v>
      </c>
      <c r="D18" s="92" t="s">
        <v>234</v>
      </c>
      <c r="E18" s="77"/>
      <c r="F18" s="77"/>
      <c r="G18" s="77"/>
    </row>
    <row r="19" spans="1:7" ht="16.5" hidden="1" thickBot="1" x14ac:dyDescent="0.3">
      <c r="A19" s="91" t="s">
        <v>241</v>
      </c>
      <c r="B19" s="20">
        <v>0</v>
      </c>
      <c r="C19" s="95" t="s">
        <v>234</v>
      </c>
      <c r="D19" s="92" t="s">
        <v>234</v>
      </c>
      <c r="E19" s="77"/>
      <c r="F19" s="77"/>
      <c r="G19" s="77"/>
    </row>
    <row r="20" spans="1:7" ht="16.5" hidden="1" thickBot="1" x14ac:dyDescent="0.3">
      <c r="A20" s="91" t="s">
        <v>242</v>
      </c>
      <c r="B20" s="20">
        <v>819.8</v>
      </c>
      <c r="C20" s="95"/>
      <c r="D20" s="92"/>
      <c r="E20" s="77"/>
      <c r="F20" s="77"/>
      <c r="G20" s="77"/>
    </row>
    <row r="21" spans="1:7" ht="16.5" hidden="1" thickBot="1" x14ac:dyDescent="0.3">
      <c r="A21" s="91" t="s">
        <v>243</v>
      </c>
      <c r="B21" s="20">
        <v>0</v>
      </c>
      <c r="C21" s="95" t="s">
        <v>234</v>
      </c>
      <c r="D21" s="92" t="s">
        <v>234</v>
      </c>
      <c r="E21" s="77"/>
      <c r="F21" s="77"/>
      <c r="G21" s="77"/>
    </row>
    <row r="22" spans="1:7" ht="16.5" hidden="1" thickBot="1" x14ac:dyDescent="0.3">
      <c r="A22" s="91" t="s">
        <v>244</v>
      </c>
      <c r="B22" s="20">
        <v>78</v>
      </c>
      <c r="C22" s="93"/>
      <c r="D22" s="92"/>
      <c r="E22" s="77"/>
      <c r="F22" s="77"/>
      <c r="G22" s="77"/>
    </row>
    <row r="23" spans="1:7" ht="15.75" x14ac:dyDescent="0.25">
      <c r="A23" s="91"/>
      <c r="B23" s="20"/>
      <c r="C23" s="94"/>
      <c r="D23" s="95"/>
      <c r="E23" s="77">
        <v>10</v>
      </c>
      <c r="F23" s="77">
        <v>2</v>
      </c>
      <c r="G23" s="77"/>
    </row>
    <row r="24" spans="1:7" ht="15.75" x14ac:dyDescent="0.25">
      <c r="A24" s="97" t="s">
        <v>319</v>
      </c>
      <c r="B24" s="25">
        <f>VLOOKUP(A5,[1]Лист1!M$1:N$65536,2,FALSE)</f>
        <v>263263.89999999997</v>
      </c>
      <c r="C24" s="92"/>
      <c r="D24" s="95"/>
      <c r="E24" s="26">
        <v>14</v>
      </c>
      <c r="F24" s="27">
        <v>15.6716</v>
      </c>
      <c r="G24" s="77"/>
    </row>
    <row r="25" spans="1:7" ht="16.5" thickBot="1" x14ac:dyDescent="0.3">
      <c r="A25" s="97" t="s">
        <v>320</v>
      </c>
      <c r="B25" s="25">
        <f>VLOOKUP(A5,[1]Лист1!M$1:O$65536,3,FALSE)</f>
        <v>276130.94</v>
      </c>
      <c r="C25" s="96"/>
      <c r="D25" s="95"/>
      <c r="E25" s="77"/>
      <c r="F25" s="77"/>
      <c r="G25" s="77"/>
    </row>
    <row r="26" spans="1:7" ht="16.5" hidden="1" thickBot="1" x14ac:dyDescent="0.3">
      <c r="A26" s="97" t="s">
        <v>321</v>
      </c>
      <c r="B26" s="25">
        <v>0</v>
      </c>
      <c r="C26" s="90"/>
      <c r="D26" s="92"/>
      <c r="E26" s="77"/>
      <c r="F26" s="77"/>
      <c r="G26" s="77"/>
    </row>
    <row r="27" spans="1:7" ht="16.5" hidden="1" thickBot="1" x14ac:dyDescent="0.3">
      <c r="A27" s="97" t="s">
        <v>248</v>
      </c>
      <c r="B27" s="25">
        <v>0</v>
      </c>
      <c r="C27" s="93"/>
      <c r="D27" s="92"/>
      <c r="E27" s="77"/>
      <c r="F27" s="77"/>
      <c r="G27" s="77"/>
    </row>
    <row r="28" spans="1:7" ht="16.5" hidden="1" thickBot="1" x14ac:dyDescent="0.3">
      <c r="A28" s="97" t="s">
        <v>249</v>
      </c>
      <c r="B28" s="25"/>
      <c r="C28" s="89"/>
      <c r="D28" s="95"/>
      <c r="E28" s="77"/>
      <c r="F28" s="77"/>
      <c r="G28" s="77"/>
    </row>
    <row r="29" spans="1:7" ht="16.5" hidden="1" thickBot="1" x14ac:dyDescent="0.3">
      <c r="A29" s="97" t="s">
        <v>250</v>
      </c>
      <c r="B29" s="25"/>
      <c r="C29" s="98"/>
      <c r="D29" s="92"/>
      <c r="E29" s="77"/>
      <c r="F29" s="77"/>
      <c r="G29" s="77"/>
    </row>
    <row r="30" spans="1:7" ht="15.75" x14ac:dyDescent="0.25">
      <c r="A30" s="99"/>
      <c r="B30" s="20"/>
      <c r="C30" s="94"/>
      <c r="D30" s="95"/>
      <c r="E30" s="77"/>
      <c r="F30" s="77"/>
      <c r="G30" s="77"/>
    </row>
    <row r="31" spans="1:7" ht="15.75" x14ac:dyDescent="0.25">
      <c r="A31" s="100" t="s">
        <v>251</v>
      </c>
      <c r="B31" s="20"/>
      <c r="C31" s="92"/>
      <c r="D31" s="95"/>
      <c r="E31" s="77"/>
      <c r="F31" s="77"/>
      <c r="G31" s="77"/>
    </row>
    <row r="32" spans="1:7" s="103" customFormat="1" ht="31.5" x14ac:dyDescent="0.25">
      <c r="A32" s="101" t="s">
        <v>252</v>
      </c>
      <c r="B32" s="32">
        <f>SUM(B33:B40)</f>
        <v>228293.03</v>
      </c>
      <c r="C32" s="92"/>
      <c r="D32" s="95"/>
      <c r="E32" s="102">
        <f>(B85-B26-B24)/1.2/1.03</f>
        <v>268484.33134916256</v>
      </c>
      <c r="F32" s="102" t="e">
        <f>(#REF!-#REF!-#REF!)/1.2/1.03</f>
        <v>#REF!</v>
      </c>
      <c r="G32" s="102" t="e">
        <f>(#REF!-#REF!-#REF!)/1.2/1.03</f>
        <v>#REF!</v>
      </c>
    </row>
    <row r="33" spans="1:7" ht="16.5" thickBot="1" x14ac:dyDescent="0.3">
      <c r="A33" s="104" t="s">
        <v>253</v>
      </c>
      <c r="B33" s="107"/>
      <c r="C33" s="96"/>
      <c r="D33" s="95">
        <v>19978.75</v>
      </c>
      <c r="E33" s="77"/>
      <c r="F33" s="77"/>
      <c r="G33" s="77"/>
    </row>
    <row r="34" spans="1:7" ht="15.75" x14ac:dyDescent="0.25">
      <c r="A34" s="138" t="s">
        <v>334</v>
      </c>
      <c r="B34" s="139">
        <v>5804.25</v>
      </c>
      <c r="C34" s="90"/>
      <c r="D34" s="92">
        <v>0</v>
      </c>
      <c r="E34" s="77"/>
      <c r="F34" s="77"/>
      <c r="G34" s="77"/>
    </row>
    <row r="35" spans="1:7" ht="15.75" x14ac:dyDescent="0.25">
      <c r="A35" s="106" t="s">
        <v>335</v>
      </c>
      <c r="B35" s="140">
        <v>12359.7</v>
      </c>
      <c r="C35" s="95"/>
      <c r="D35" s="92">
        <v>0</v>
      </c>
      <c r="E35" s="77"/>
      <c r="F35" s="77"/>
      <c r="G35" s="77"/>
    </row>
    <row r="36" spans="1:7" ht="15.75" x14ac:dyDescent="0.25">
      <c r="A36" s="106" t="s">
        <v>336</v>
      </c>
      <c r="B36" s="141">
        <v>76317.86</v>
      </c>
      <c r="C36" s="95" t="s">
        <v>234</v>
      </c>
      <c r="D36" s="92">
        <v>0</v>
      </c>
      <c r="E36" s="77"/>
      <c r="F36" s="77"/>
      <c r="G36" s="77"/>
    </row>
    <row r="37" spans="1:7" ht="15.75" x14ac:dyDescent="0.25">
      <c r="A37" s="138" t="s">
        <v>337</v>
      </c>
      <c r="B37" s="139">
        <f>22404.5+27922.43+21803.29</f>
        <v>72130.22</v>
      </c>
      <c r="C37" s="95"/>
      <c r="D37" s="92">
        <v>0</v>
      </c>
      <c r="E37" s="77"/>
      <c r="F37" s="77"/>
      <c r="G37" s="77"/>
    </row>
    <row r="38" spans="1:7" ht="16.5" thickBot="1" x14ac:dyDescent="0.3">
      <c r="A38" s="142" t="s">
        <v>338</v>
      </c>
      <c r="B38" s="141">
        <v>61681</v>
      </c>
      <c r="C38" s="95"/>
      <c r="D38" s="92"/>
      <c r="E38" s="77"/>
      <c r="F38" s="77"/>
      <c r="G38" s="77"/>
    </row>
    <row r="39" spans="1:7" ht="16.5" hidden="1" thickBot="1" x14ac:dyDescent="0.3">
      <c r="A39" s="106"/>
      <c r="B39" s="140"/>
      <c r="C39" s="95"/>
      <c r="D39" s="92"/>
      <c r="E39" s="77"/>
      <c r="F39" s="77"/>
      <c r="G39" s="77"/>
    </row>
    <row r="40" spans="1:7" ht="16.5" hidden="1" thickBot="1" x14ac:dyDescent="0.3">
      <c r="A40" s="104" t="s">
        <v>313</v>
      </c>
      <c r="B40" s="20">
        <v>0</v>
      </c>
      <c r="C40" s="93"/>
      <c r="D40" s="92"/>
      <c r="E40" s="77"/>
      <c r="F40" s="77"/>
      <c r="G40" s="77"/>
    </row>
    <row r="41" spans="1:7" s="103" customFormat="1" ht="48" thickBot="1" x14ac:dyDescent="0.3">
      <c r="A41" s="101" t="s">
        <v>325</v>
      </c>
      <c r="B41" s="32">
        <f>SUM(B42:B44)</f>
        <v>15728.027950841277</v>
      </c>
      <c r="C41" s="89"/>
      <c r="D41" s="95"/>
      <c r="E41" s="102"/>
      <c r="F41" s="102"/>
      <c r="G41" s="102"/>
    </row>
    <row r="42" spans="1:7" ht="15.75" x14ac:dyDescent="0.25">
      <c r="A42" s="104" t="s">
        <v>262</v>
      </c>
      <c r="B42" s="20">
        <v>5200</v>
      </c>
      <c r="C42" s="98"/>
      <c r="D42" s="108"/>
      <c r="E42" s="77"/>
      <c r="F42" s="77"/>
      <c r="G42" s="77"/>
    </row>
    <row r="43" spans="1:7" ht="15.75" x14ac:dyDescent="0.25">
      <c r="A43" s="104" t="s">
        <v>263</v>
      </c>
      <c r="B43" s="20">
        <v>2240</v>
      </c>
      <c r="C43" s="93"/>
      <c r="D43" s="108"/>
      <c r="E43" s="77"/>
      <c r="F43" s="77"/>
      <c r="G43" s="77"/>
    </row>
    <row r="44" spans="1:7" ht="16.5" thickBot="1" x14ac:dyDescent="0.3">
      <c r="A44" s="109" t="s">
        <v>264</v>
      </c>
      <c r="B44" s="20">
        <f>[4]тарифы!D163*B15+96.01*1.12</f>
        <v>8288.0279508412768</v>
      </c>
      <c r="C44" s="93"/>
      <c r="D44" s="108"/>
      <c r="E44" s="77"/>
      <c r="F44" s="77"/>
      <c r="G44" s="77"/>
    </row>
    <row r="45" spans="1:7" s="79" customFormat="1" ht="16.5" thickBot="1" x14ac:dyDescent="0.3">
      <c r="A45" s="101" t="s">
        <v>265</v>
      </c>
      <c r="B45" s="32">
        <f>SUM(B46:B64)</f>
        <v>26442.760000000002</v>
      </c>
      <c r="C45" s="89"/>
      <c r="D45" s="95"/>
    </row>
    <row r="46" spans="1:7" ht="15.75" x14ac:dyDescent="0.25">
      <c r="A46" s="104" t="s">
        <v>326</v>
      </c>
      <c r="B46" s="20">
        <v>2648.52</v>
      </c>
      <c r="C46" s="90"/>
      <c r="D46" s="92"/>
      <c r="E46" s="77" t="s">
        <v>267</v>
      </c>
      <c r="F46" s="77"/>
      <c r="G46" s="77"/>
    </row>
    <row r="47" spans="1:7" ht="15.75" x14ac:dyDescent="0.25">
      <c r="A47" s="104" t="s">
        <v>317</v>
      </c>
      <c r="B47" s="20">
        <v>3216.06</v>
      </c>
      <c r="C47" s="95"/>
      <c r="D47" s="92"/>
      <c r="E47" s="77" t="s">
        <v>269</v>
      </c>
      <c r="F47" s="77"/>
      <c r="G47" s="77"/>
    </row>
    <row r="48" spans="1:7" ht="15.75" hidden="1" x14ac:dyDescent="0.25">
      <c r="A48" s="110" t="s">
        <v>270</v>
      </c>
      <c r="B48" s="20">
        <v>0</v>
      </c>
      <c r="C48" s="95"/>
      <c r="D48" s="92"/>
      <c r="E48" s="77"/>
      <c r="F48" s="77"/>
      <c r="G48" s="77"/>
    </row>
    <row r="49" spans="1:5" ht="15.75" x14ac:dyDescent="0.25">
      <c r="A49" s="104" t="s">
        <v>540</v>
      </c>
      <c r="B49" s="107">
        <v>6499.64</v>
      </c>
      <c r="C49" s="95"/>
      <c r="D49" s="92">
        <v>4190</v>
      </c>
      <c r="E49" s="77"/>
    </row>
    <row r="50" spans="1:5" ht="15.75" hidden="1" x14ac:dyDescent="0.25">
      <c r="A50" s="110" t="s">
        <v>272</v>
      </c>
      <c r="B50" s="20">
        <v>0</v>
      </c>
      <c r="C50" s="95"/>
      <c r="D50" s="92"/>
      <c r="E50" s="77"/>
    </row>
    <row r="51" spans="1:5" ht="15.75" hidden="1" x14ac:dyDescent="0.25">
      <c r="A51" s="110" t="s">
        <v>273</v>
      </c>
      <c r="B51" s="20">
        <f>B21*[4]тарифы!D177</f>
        <v>0</v>
      </c>
      <c r="C51" s="95"/>
      <c r="D51" s="92">
        <v>105.14</v>
      </c>
      <c r="E51" s="77"/>
    </row>
    <row r="52" spans="1:5" ht="15.75" hidden="1" x14ac:dyDescent="0.25">
      <c r="A52" s="110" t="s">
        <v>274</v>
      </c>
      <c r="B52" s="20">
        <v>0</v>
      </c>
      <c r="C52" s="95">
        <v>0</v>
      </c>
      <c r="D52" s="92">
        <v>522.99</v>
      </c>
      <c r="E52" s="77"/>
    </row>
    <row r="53" spans="1:5" ht="15.75" hidden="1" x14ac:dyDescent="0.25">
      <c r="A53" s="110" t="s">
        <v>275</v>
      </c>
      <c r="B53" s="20">
        <v>0</v>
      </c>
      <c r="C53" s="95">
        <v>0</v>
      </c>
      <c r="D53" s="111">
        <v>695.13</v>
      </c>
      <c r="E53" s="77"/>
    </row>
    <row r="54" spans="1:5" ht="15.75" hidden="1" x14ac:dyDescent="0.25">
      <c r="A54" s="110" t="s">
        <v>276</v>
      </c>
      <c r="B54" s="20">
        <v>0</v>
      </c>
      <c r="C54" s="95"/>
      <c r="D54" s="111"/>
      <c r="E54" s="77"/>
    </row>
    <row r="55" spans="1:5" ht="15.75" hidden="1" x14ac:dyDescent="0.25">
      <c r="A55" s="110" t="s">
        <v>277</v>
      </c>
      <c r="B55" s="20">
        <v>0</v>
      </c>
      <c r="C55" s="95">
        <v>0</v>
      </c>
      <c r="D55" s="92">
        <f>10695.76/1.18</f>
        <v>9064.203389830509</v>
      </c>
      <c r="E55" s="77"/>
    </row>
    <row r="56" spans="1:5" ht="15.75" hidden="1" x14ac:dyDescent="0.25">
      <c r="A56" s="110" t="s">
        <v>314</v>
      </c>
      <c r="B56" s="20">
        <v>0</v>
      </c>
      <c r="C56" s="95">
        <v>0</v>
      </c>
      <c r="D56" s="92">
        <f>2300/1.18</f>
        <v>1949.1525423728815</v>
      </c>
      <c r="E56" s="77"/>
    </row>
    <row r="57" spans="1:5" ht="15.75" hidden="1" x14ac:dyDescent="0.25">
      <c r="A57" s="110" t="s">
        <v>316</v>
      </c>
      <c r="B57" s="20"/>
      <c r="C57" s="93">
        <v>0</v>
      </c>
      <c r="D57" s="92">
        <v>0</v>
      </c>
      <c r="E57" s="77"/>
    </row>
    <row r="58" spans="1:5" ht="16.5" hidden="1" thickBot="1" x14ac:dyDescent="0.3">
      <c r="A58" s="110" t="s">
        <v>279</v>
      </c>
      <c r="B58" s="20">
        <f>B13*[4]тарифы!D184</f>
        <v>0</v>
      </c>
      <c r="C58" s="89"/>
      <c r="D58" s="95"/>
      <c r="E58" s="77"/>
    </row>
    <row r="59" spans="1:5" ht="15.75" hidden="1" x14ac:dyDescent="0.25">
      <c r="A59" s="104" t="s">
        <v>280</v>
      </c>
      <c r="B59" s="20">
        <v>0</v>
      </c>
      <c r="C59" s="90"/>
      <c r="D59" s="92"/>
      <c r="E59" s="77"/>
    </row>
    <row r="60" spans="1:5" ht="15.75" hidden="1" x14ac:dyDescent="0.25">
      <c r="A60" s="104" t="s">
        <v>281</v>
      </c>
      <c r="B60" s="20">
        <v>0</v>
      </c>
      <c r="C60" s="95"/>
      <c r="D60" s="92">
        <v>0</v>
      </c>
      <c r="E60" s="77"/>
    </row>
    <row r="61" spans="1:5" ht="15.75" hidden="1" x14ac:dyDescent="0.25">
      <c r="A61" s="104" t="s">
        <v>340</v>
      </c>
      <c r="B61" s="20">
        <v>0</v>
      </c>
      <c r="C61" s="95"/>
      <c r="D61" s="92">
        <v>0</v>
      </c>
      <c r="E61" s="77"/>
    </row>
    <row r="62" spans="1:5" ht="15.75" x14ac:dyDescent="0.25">
      <c r="A62" s="104" t="s">
        <v>341</v>
      </c>
      <c r="B62" s="112">
        <v>13988.79</v>
      </c>
      <c r="C62" s="113">
        <v>1</v>
      </c>
      <c r="D62" s="92">
        <v>0</v>
      </c>
      <c r="E62" s="77"/>
    </row>
    <row r="63" spans="1:5" ht="16.5" hidden="1" thickBot="1" x14ac:dyDescent="0.3">
      <c r="A63" s="104" t="s">
        <v>284</v>
      </c>
      <c r="B63" s="112">
        <v>0</v>
      </c>
      <c r="C63" s="114">
        <v>36</v>
      </c>
      <c r="D63" s="95">
        <v>2</v>
      </c>
      <c r="E63" s="77">
        <v>1</v>
      </c>
    </row>
    <row r="64" spans="1:5" s="79" customFormat="1" ht="16.5" thickBot="1" x14ac:dyDescent="0.3">
      <c r="A64" s="104" t="s">
        <v>282</v>
      </c>
      <c r="B64" s="112">
        <v>89.75</v>
      </c>
      <c r="C64" s="115">
        <v>36</v>
      </c>
      <c r="D64" s="108">
        <f>650/1.18</f>
        <v>550.84745762711873</v>
      </c>
    </row>
    <row r="65" spans="1:4" s="79" customFormat="1" ht="16.5" thickBot="1" x14ac:dyDescent="0.3">
      <c r="A65" s="116" t="s">
        <v>286</v>
      </c>
      <c r="B65" s="32">
        <f>SUM(B66:B73)</f>
        <v>111735.74320855056</v>
      </c>
      <c r="C65" s="89"/>
      <c r="D65" s="93"/>
    </row>
    <row r="66" spans="1:4" ht="16.5" hidden="1" thickBot="1" x14ac:dyDescent="0.3">
      <c r="A66" s="104" t="s">
        <v>287</v>
      </c>
      <c r="B66" s="20">
        <v>0</v>
      </c>
      <c r="C66" s="98"/>
      <c r="D66" s="108"/>
    </row>
    <row r="67" spans="1:4" ht="16.5" thickBot="1" x14ac:dyDescent="0.3">
      <c r="A67" s="104" t="s">
        <v>288</v>
      </c>
      <c r="B67" s="20">
        <f>44844*1.04*1.12</f>
        <v>52234.291200000007</v>
      </c>
      <c r="C67" s="89"/>
      <c r="D67" s="93"/>
    </row>
    <row r="68" spans="1:4" ht="15.75" hidden="1" x14ac:dyDescent="0.25">
      <c r="A68" s="104" t="s">
        <v>289</v>
      </c>
      <c r="B68" s="20">
        <v>0</v>
      </c>
      <c r="C68" s="98"/>
      <c r="D68" s="108"/>
    </row>
    <row r="69" spans="1:4" ht="16.5" thickBot="1" x14ac:dyDescent="0.3">
      <c r="A69" s="109" t="s">
        <v>290</v>
      </c>
      <c r="B69" s="20">
        <f>[4]тарифы!D164*B13*1.12</f>
        <v>1903.8899797845634</v>
      </c>
      <c r="C69" s="93"/>
      <c r="D69" s="108"/>
    </row>
    <row r="70" spans="1:4" ht="15.75" x14ac:dyDescent="0.25">
      <c r="A70" s="109" t="s">
        <v>291</v>
      </c>
      <c r="B70" s="20">
        <f>[4]тарифы!D165*B15*1.12</f>
        <v>9860.5636287659909</v>
      </c>
      <c r="C70" s="117"/>
      <c r="D70" s="93"/>
    </row>
    <row r="71" spans="1:4" ht="15.75" x14ac:dyDescent="0.25">
      <c r="A71" s="109" t="s">
        <v>292</v>
      </c>
      <c r="B71" s="20">
        <f>15748*1.04*1.12</f>
        <v>18343.270400000001</v>
      </c>
      <c r="C71" s="108"/>
      <c r="D71" s="93"/>
    </row>
    <row r="72" spans="1:4" ht="15.75" x14ac:dyDescent="0.25">
      <c r="A72" s="41" t="s">
        <v>293</v>
      </c>
      <c r="B72" s="20">
        <f>2672*1.04*1.12</f>
        <v>3112.3456000000006</v>
      </c>
      <c r="C72" s="108"/>
      <c r="D72" s="93"/>
    </row>
    <row r="73" spans="1:4" ht="15.75" x14ac:dyDescent="0.25">
      <c r="A73" s="109" t="s">
        <v>294</v>
      </c>
      <c r="B73" s="20">
        <f>22563*1.04*1.12</f>
        <v>26281.382400000002</v>
      </c>
      <c r="C73" s="108"/>
      <c r="D73" s="93"/>
    </row>
    <row r="74" spans="1:4" ht="47.25" x14ac:dyDescent="0.25">
      <c r="A74" s="118" t="s">
        <v>328</v>
      </c>
      <c r="B74" s="32">
        <f>SUM(B75:B75)</f>
        <v>52474.482270629327</v>
      </c>
      <c r="C74" s="108"/>
      <c r="D74" s="93"/>
    </row>
    <row r="75" spans="1:4" ht="15.75" x14ac:dyDescent="0.25">
      <c r="A75" s="109" t="s">
        <v>296</v>
      </c>
      <c r="B75" s="20">
        <f>[4]ОЭР!D24*1.12</f>
        <v>52474.482270629327</v>
      </c>
      <c r="C75" s="108"/>
      <c r="D75" s="93"/>
    </row>
    <row r="76" spans="1:4" s="79" customFormat="1" ht="15.75" x14ac:dyDescent="0.25">
      <c r="A76" s="116" t="s">
        <v>297</v>
      </c>
      <c r="B76" s="32">
        <f>SUM(B77:B80)</f>
        <v>46806.970767037827</v>
      </c>
      <c r="C76" s="108"/>
      <c r="D76" s="93"/>
    </row>
    <row r="77" spans="1:4" ht="32.25" thickBot="1" x14ac:dyDescent="0.3">
      <c r="A77" s="119" t="s">
        <v>329</v>
      </c>
      <c r="B77" s="20">
        <f>[4]тарифы!D170*B15*1.12</f>
        <v>37212.086222555547</v>
      </c>
      <c r="C77" s="96"/>
      <c r="D77" s="93"/>
    </row>
    <row r="78" spans="1:4" ht="16.5" hidden="1" thickBot="1" x14ac:dyDescent="0.3">
      <c r="A78" s="51" t="s">
        <v>299</v>
      </c>
      <c r="B78" s="20">
        <f>(B26/1.2)*30%</f>
        <v>0</v>
      </c>
      <c r="C78" s="98"/>
      <c r="D78" s="108"/>
    </row>
    <row r="79" spans="1:4" ht="15.75" x14ac:dyDescent="0.25">
      <c r="A79" s="120" t="s">
        <v>330</v>
      </c>
      <c r="B79" s="20">
        <f>3196.75+3008.73</f>
        <v>6205.48</v>
      </c>
      <c r="C79" s="117"/>
      <c r="D79" s="93"/>
    </row>
    <row r="80" spans="1:4" ht="15.75" x14ac:dyDescent="0.25">
      <c r="A80" s="120" t="s">
        <v>331</v>
      </c>
      <c r="B80" s="20">
        <f>[4]тарифы!D173*B13*1.12</f>
        <v>3389.4045444822877</v>
      </c>
      <c r="C80" s="108"/>
      <c r="D80" s="93"/>
    </row>
    <row r="81" spans="1:4" ht="15.75" x14ac:dyDescent="0.25">
      <c r="A81" s="121" t="s">
        <v>302</v>
      </c>
      <c r="B81" s="25">
        <f>B32+B41+B45+B65+B74+B76</f>
        <v>481481.01419705898</v>
      </c>
      <c r="C81" s="108"/>
      <c r="D81" s="93"/>
    </row>
    <row r="82" spans="1:4" ht="15.75" x14ac:dyDescent="0.25">
      <c r="A82" s="122" t="s">
        <v>303</v>
      </c>
      <c r="B82" s="20">
        <f>B81*0.03</f>
        <v>14444.430425911769</v>
      </c>
      <c r="C82" s="108"/>
      <c r="D82" s="93"/>
    </row>
    <row r="83" spans="1:4" s="103" customFormat="1" ht="15.75" x14ac:dyDescent="0.25">
      <c r="A83" s="123" t="s">
        <v>304</v>
      </c>
      <c r="B83" s="32">
        <f>B81+B82</f>
        <v>495925.44462297077</v>
      </c>
      <c r="C83" s="108"/>
      <c r="D83" s="93"/>
    </row>
    <row r="84" spans="1:4" ht="16.5" thickBot="1" x14ac:dyDescent="0.3">
      <c r="A84" s="124" t="s">
        <v>305</v>
      </c>
      <c r="B84" s="57">
        <f>B83*0.2</f>
        <v>99185.088924594165</v>
      </c>
      <c r="C84" s="108"/>
      <c r="D84" s="93"/>
    </row>
    <row r="85" spans="1:4" s="79" customFormat="1" ht="16.5" thickBot="1" x14ac:dyDescent="0.3">
      <c r="A85" s="125" t="s">
        <v>306</v>
      </c>
      <c r="B85" s="59">
        <f>B83+B84</f>
        <v>595110.53354756488</v>
      </c>
      <c r="C85" s="89"/>
      <c r="D85" s="126"/>
    </row>
    <row r="86" spans="1:4" s="79" customFormat="1" ht="16.5" thickBot="1" x14ac:dyDescent="0.3">
      <c r="A86" s="127" t="s">
        <v>307</v>
      </c>
      <c r="B86" s="59">
        <f>B10+B24+B26+B28+B29-B85</f>
        <v>-1158560.903547565</v>
      </c>
      <c r="C86" s="128"/>
      <c r="D86" s="129"/>
    </row>
    <row r="87" spans="1:4" s="79" customFormat="1" ht="16.5" thickBot="1" x14ac:dyDescent="0.3">
      <c r="A87" s="130" t="s">
        <v>308</v>
      </c>
      <c r="B87" s="296">
        <f>B10+B25+B27+B28+B29-B85</f>
        <v>-1145693.8635475649</v>
      </c>
      <c r="C87" s="131"/>
      <c r="D87" s="129"/>
    </row>
    <row r="88" spans="1:4" s="79" customFormat="1" ht="16.5" hidden="1" thickBot="1" x14ac:dyDescent="0.3">
      <c r="A88" s="132" t="s">
        <v>309</v>
      </c>
      <c r="B88" s="66">
        <f>B11+B24-B25</f>
        <v>-12867.040000000037</v>
      </c>
      <c r="C88" s="129"/>
      <c r="D88" s="129"/>
    </row>
    <row r="89" spans="1:4" s="79" customFormat="1" ht="15.75" hidden="1" x14ac:dyDescent="0.25">
      <c r="A89" s="133"/>
      <c r="B89" s="68"/>
      <c r="C89" s="129"/>
      <c r="D89" s="129"/>
    </row>
    <row r="90" spans="1:4" ht="15.75" x14ac:dyDescent="0.25">
      <c r="A90" s="134"/>
      <c r="B90" s="70"/>
      <c r="C90" s="77"/>
      <c r="D90" s="77"/>
    </row>
    <row r="91" spans="1:4" ht="15.75" x14ac:dyDescent="0.25">
      <c r="A91" s="323" t="s">
        <v>332</v>
      </c>
      <c r="B91" s="339"/>
      <c r="C91" s="77"/>
      <c r="D91" s="77"/>
    </row>
    <row r="92" spans="1:4" ht="15.75" x14ac:dyDescent="0.25">
      <c r="A92" s="134"/>
      <c r="B92" s="70"/>
      <c r="C92" s="77"/>
      <c r="D92" s="77"/>
    </row>
    <row r="93" spans="1:4" ht="15.75" hidden="1" x14ac:dyDescent="0.25">
      <c r="A93" s="324" t="s">
        <v>333</v>
      </c>
      <c r="B93" s="324"/>
      <c r="C93" s="135"/>
      <c r="D93" s="77"/>
    </row>
    <row r="94" spans="1:4" ht="15.75" x14ac:dyDescent="0.25">
      <c r="A94" s="77"/>
      <c r="B94" s="70"/>
      <c r="C94" s="77"/>
      <c r="D94" s="77"/>
    </row>
  </sheetData>
  <autoFilter ref="A31:G88" xr:uid="{00000000-0009-0000-0000-00000A000000}">
    <filterColumn colId="1">
      <filters>
        <filter val="1 724,85"/>
        <filter val="1 860,91"/>
        <filter val="12 708,52"/>
        <filter val="15 356,20"/>
        <filter val="15 732,70"/>
        <filter val="2 078,57"/>
        <filter val="2 610,63"/>
        <filter val="20 102,45"/>
        <filter val="21 344,50"/>
        <filter val="21 538,41"/>
        <filter val="222 542,24"/>
        <filter val="229 218,51"/>
        <filter val="27 504,96"/>
        <filter val="275 062,21"/>
        <filter val="28 090,46"/>
        <filter val="-293 280,13"/>
        <filter val="3 354,70"/>
        <filter val="3 955,80"/>
        <filter val="30 076,07"/>
        <filter val="-320 785,09"/>
        <filter val="38 199,80"/>
        <filter val="4 667,39"/>
        <filter val="44 844,21"/>
        <filter val="45 843,70"/>
        <filter val="5 059,68"/>
        <filter val="6 534,33"/>
        <filter val="6 676,27"/>
        <filter val="662,15"/>
        <filter val="7 809,04"/>
        <filter val="8 460,61"/>
        <filter val="8 848,73"/>
        <filter val="9 334,98"/>
        <filter val="91 928,99"/>
      </filters>
    </filterColumn>
  </autoFilter>
  <mergeCells count="9">
    <mergeCell ref="D8:D9"/>
    <mergeCell ref="A91:B91"/>
    <mergeCell ref="A93:B93"/>
    <mergeCell ref="A1:B1"/>
    <mergeCell ref="A2:B2"/>
    <mergeCell ref="A3:B3"/>
    <mergeCell ref="A8:A9"/>
    <mergeCell ref="B8:B9"/>
    <mergeCell ref="C8:C9"/>
  </mergeCells>
  <phoneticPr fontId="43" type="noConversion"/>
  <pageMargins left="0.70866141732283472" right="0.70866141732283472" top="0.74803149606299213" bottom="0.74803149606299213" header="0.31496062992125984" footer="0.31496062992125984"/>
  <pageSetup paperSize="9" scale="72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filterMode="1">
    <pageSetUpPr fitToPage="1"/>
  </sheetPr>
  <dimension ref="A1:G94"/>
  <sheetViews>
    <sheetView view="pageBreakPreview" topLeftCell="A46" zoomScale="85" zoomScaleNormal="100" zoomScaleSheetLayoutView="85" workbookViewId="0">
      <selection activeCell="B74" sqref="B74"/>
    </sheetView>
  </sheetViews>
  <sheetFormatPr defaultRowHeight="15.75" x14ac:dyDescent="0.25"/>
  <cols>
    <col min="1" max="1" width="96.42578125" style="3" customWidth="1"/>
    <col min="2" max="2" width="15" style="3" customWidth="1"/>
    <col min="3" max="4" width="13.85546875" style="3" customWidth="1"/>
    <col min="5" max="5" width="14.140625" style="3" customWidth="1"/>
    <col min="6" max="6" width="11.140625" style="3" customWidth="1"/>
    <col min="7" max="7" width="12.42578125" style="3" bestFit="1" customWidth="1"/>
    <col min="8" max="16384" width="9.140625" style="3"/>
  </cols>
  <sheetData>
    <row r="1" spans="1:4" ht="16.5" customHeight="1" x14ac:dyDescent="0.25">
      <c r="A1" s="313" t="s">
        <v>224</v>
      </c>
      <c r="B1" s="313"/>
    </row>
    <row r="2" spans="1:4" ht="16.5" x14ac:dyDescent="0.25">
      <c r="A2" s="315" t="s">
        <v>225</v>
      </c>
      <c r="B2" s="315"/>
    </row>
    <row r="3" spans="1:4" ht="16.5" x14ac:dyDescent="0.25">
      <c r="A3" s="315" t="s">
        <v>226</v>
      </c>
      <c r="B3" s="315"/>
    </row>
    <row r="4" spans="1:4" x14ac:dyDescent="0.25">
      <c r="A4" s="4" t="s">
        <v>516</v>
      </c>
      <c r="B4" s="4"/>
    </row>
    <row r="5" spans="1:4" s="77" customFormat="1" x14ac:dyDescent="0.25">
      <c r="A5" s="4" t="s">
        <v>23</v>
      </c>
      <c r="B5" s="4"/>
    </row>
    <row r="6" spans="1:4" ht="5.25" customHeight="1" x14ac:dyDescent="0.25">
      <c r="A6" s="4"/>
      <c r="B6" s="8"/>
      <c r="C6" s="8"/>
    </row>
    <row r="7" spans="1:4" ht="16.5" thickBot="1" x14ac:dyDescent="0.3">
      <c r="A7" s="9"/>
      <c r="B7" s="8"/>
      <c r="C7" s="8"/>
    </row>
    <row r="8" spans="1:4" ht="15.75" customHeight="1" x14ac:dyDescent="0.25">
      <c r="A8" s="335" t="s">
        <v>227</v>
      </c>
      <c r="B8" s="337" t="s">
        <v>228</v>
      </c>
      <c r="C8" s="307" t="s">
        <v>229</v>
      </c>
      <c r="D8" s="307" t="s">
        <v>230</v>
      </c>
    </row>
    <row r="9" spans="1:4" ht="28.5" customHeight="1" thickBot="1" x14ac:dyDescent="0.3">
      <c r="A9" s="336"/>
      <c r="B9" s="338"/>
      <c r="C9" s="308"/>
      <c r="D9" s="308"/>
    </row>
    <row r="10" spans="1:4" s="212" customFormat="1" ht="16.5" thickBot="1" x14ac:dyDescent="0.3">
      <c r="A10" s="209" t="s">
        <v>231</v>
      </c>
      <c r="B10" s="302">
        <f>VLOOKUP(A5,мкд!S:T,2,FALSE)</f>
        <v>-1090188.01</v>
      </c>
      <c r="C10" s="211"/>
      <c r="D10" s="211"/>
    </row>
    <row r="11" spans="1:4" s="212" customFormat="1" ht="16.5" hidden="1" thickBot="1" x14ac:dyDescent="0.3">
      <c r="A11" s="213" t="s">
        <v>232</v>
      </c>
      <c r="B11" s="214"/>
      <c r="C11" s="215"/>
      <c r="D11" s="215"/>
    </row>
    <row r="12" spans="1:4" x14ac:dyDescent="0.25">
      <c r="A12" s="216" t="s">
        <v>233</v>
      </c>
      <c r="B12" s="217"/>
      <c r="C12" s="17" t="s">
        <v>234</v>
      </c>
      <c r="D12" s="18" t="s">
        <v>234</v>
      </c>
    </row>
    <row r="13" spans="1:4" hidden="1" x14ac:dyDescent="0.25">
      <c r="A13" s="19" t="s">
        <v>235</v>
      </c>
      <c r="B13" s="20">
        <v>2602.1</v>
      </c>
      <c r="C13" s="21" t="s">
        <v>234</v>
      </c>
      <c r="D13" s="22" t="s">
        <v>234</v>
      </c>
    </row>
    <row r="14" spans="1:4" hidden="1" x14ac:dyDescent="0.25">
      <c r="A14" s="19" t="s">
        <v>236</v>
      </c>
      <c r="B14" s="23">
        <v>0</v>
      </c>
      <c r="C14" s="21"/>
      <c r="D14" s="22"/>
    </row>
    <row r="15" spans="1:4" x14ac:dyDescent="0.25">
      <c r="A15" s="219" t="s">
        <v>237</v>
      </c>
      <c r="B15" s="23">
        <f>B13+B14</f>
        <v>2602.1</v>
      </c>
      <c r="C15" s="21"/>
      <c r="D15" s="22"/>
    </row>
    <row r="16" spans="1:4" x14ac:dyDescent="0.25">
      <c r="A16" s="219" t="s">
        <v>238</v>
      </c>
      <c r="B16" s="23">
        <f>1133+2683.6/3</f>
        <v>2027.5333333333333</v>
      </c>
      <c r="C16" s="21" t="s">
        <v>234</v>
      </c>
      <c r="D16" s="22" t="s">
        <v>234</v>
      </c>
    </row>
    <row r="17" spans="1:7" hidden="1" x14ac:dyDescent="0.25">
      <c r="A17" s="19" t="s">
        <v>239</v>
      </c>
      <c r="B17" s="23">
        <v>0</v>
      </c>
      <c r="C17" s="21" t="s">
        <v>234</v>
      </c>
      <c r="D17" s="22" t="s">
        <v>234</v>
      </c>
    </row>
    <row r="18" spans="1:7" hidden="1" x14ac:dyDescent="0.25">
      <c r="A18" s="19" t="s">
        <v>240</v>
      </c>
      <c r="B18" s="20">
        <v>676</v>
      </c>
      <c r="C18" s="21" t="s">
        <v>234</v>
      </c>
      <c r="D18" s="22" t="s">
        <v>234</v>
      </c>
    </row>
    <row r="19" spans="1:7" hidden="1" x14ac:dyDescent="0.25">
      <c r="A19" s="19" t="s">
        <v>241</v>
      </c>
      <c r="B19" s="23">
        <v>0</v>
      </c>
      <c r="C19" s="21" t="s">
        <v>234</v>
      </c>
      <c r="D19" s="22" t="s">
        <v>234</v>
      </c>
    </row>
    <row r="20" spans="1:7" hidden="1" x14ac:dyDescent="0.25">
      <c r="A20" s="19" t="s">
        <v>242</v>
      </c>
      <c r="B20" s="20">
        <v>743</v>
      </c>
      <c r="C20" s="21"/>
      <c r="D20" s="22"/>
    </row>
    <row r="21" spans="1:7" hidden="1" x14ac:dyDescent="0.25">
      <c r="A21" s="19" t="s">
        <v>243</v>
      </c>
      <c r="B21" s="23">
        <v>0</v>
      </c>
      <c r="C21" s="21" t="s">
        <v>234</v>
      </c>
      <c r="D21" s="22" t="s">
        <v>234</v>
      </c>
    </row>
    <row r="22" spans="1:7" hidden="1" x14ac:dyDescent="0.25">
      <c r="A22" s="19" t="s">
        <v>244</v>
      </c>
      <c r="B22" s="20">
        <v>155</v>
      </c>
      <c r="C22" s="21"/>
      <c r="D22" s="22"/>
    </row>
    <row r="23" spans="1:7" x14ac:dyDescent="0.25">
      <c r="A23" s="219"/>
      <c r="B23" s="23"/>
      <c r="C23" s="21"/>
      <c r="D23" s="22"/>
    </row>
    <row r="24" spans="1:7" x14ac:dyDescent="0.25">
      <c r="A24" s="220" t="s">
        <v>319</v>
      </c>
      <c r="B24" s="28">
        <f>VLOOKUP(A5,'[5]Лист  1'!M$1:N$65536,2,FALSE)</f>
        <v>446208.48</v>
      </c>
      <c r="C24" s="21"/>
      <c r="D24" s="22"/>
      <c r="E24" s="26">
        <v>14.29</v>
      </c>
    </row>
    <row r="25" spans="1:7" x14ac:dyDescent="0.25">
      <c r="A25" s="220" t="s">
        <v>320</v>
      </c>
      <c r="B25" s="28">
        <f>VLOOKUP(A5,'[5]Лист  1'!M$1:O$65536,3,FALSE)</f>
        <v>437668.09</v>
      </c>
      <c r="C25" s="21"/>
      <c r="D25" s="22"/>
    </row>
    <row r="26" spans="1:7" hidden="1" x14ac:dyDescent="0.25">
      <c r="A26" s="220" t="s">
        <v>321</v>
      </c>
      <c r="B26" s="28"/>
      <c r="C26" s="21"/>
      <c r="D26" s="22"/>
    </row>
    <row r="27" spans="1:7" x14ac:dyDescent="0.25">
      <c r="A27" s="220" t="s">
        <v>248</v>
      </c>
      <c r="B27" s="28">
        <f>B26</f>
        <v>0</v>
      </c>
      <c r="C27" s="21"/>
      <c r="D27" s="22"/>
    </row>
    <row r="28" spans="1:7" hidden="1" x14ac:dyDescent="0.25">
      <c r="A28" s="220" t="s">
        <v>399</v>
      </c>
      <c r="B28" s="28"/>
      <c r="C28" s="21"/>
      <c r="D28" s="22"/>
    </row>
    <row r="29" spans="1:7" hidden="1" x14ac:dyDescent="0.25">
      <c r="A29" s="220" t="s">
        <v>250</v>
      </c>
      <c r="B29" s="23"/>
      <c r="C29" s="21"/>
      <c r="D29" s="22"/>
    </row>
    <row r="30" spans="1:7" x14ac:dyDescent="0.25">
      <c r="A30" s="221"/>
      <c r="B30" s="23"/>
      <c r="C30" s="21"/>
      <c r="D30" s="22"/>
    </row>
    <row r="31" spans="1:7" x14ac:dyDescent="0.25">
      <c r="A31" s="222" t="s">
        <v>251</v>
      </c>
      <c r="B31" s="23"/>
      <c r="C31" s="21"/>
      <c r="D31" s="22"/>
    </row>
    <row r="32" spans="1:7" s="34" customFormat="1" ht="31.5" x14ac:dyDescent="0.25">
      <c r="A32" s="223" t="s">
        <v>252</v>
      </c>
      <c r="B32" s="208">
        <f>SUM(B33:B34)</f>
        <v>134348.64000000001</v>
      </c>
      <c r="C32" s="21"/>
      <c r="D32" s="22"/>
      <c r="E32" s="33">
        <f>(B79-B24-B26)/1.2/1.03</f>
        <v>242339.68562110426</v>
      </c>
      <c r="F32" s="33" t="e">
        <f>(#REF!-#REF!-#REF!)/1.2/1.03</f>
        <v>#REF!</v>
      </c>
      <c r="G32" s="33" t="e">
        <f>(#REF!-#REF!-#REF!)/1.2/1.03</f>
        <v>#REF!</v>
      </c>
    </row>
    <row r="33" spans="1:7" x14ac:dyDescent="0.25">
      <c r="A33" s="224" t="s">
        <v>253</v>
      </c>
      <c r="B33" s="23">
        <v>64571.040000000001</v>
      </c>
      <c r="C33" s="21"/>
      <c r="D33" s="22">
        <v>20085.96</v>
      </c>
    </row>
    <row r="34" spans="1:7" ht="16.5" x14ac:dyDescent="0.25">
      <c r="A34" s="249" t="s">
        <v>342</v>
      </c>
      <c r="B34" s="23">
        <f>58099.76+11677.84</f>
        <v>69777.600000000006</v>
      </c>
      <c r="C34" s="21"/>
      <c r="D34" s="22">
        <v>0</v>
      </c>
    </row>
    <row r="35" spans="1:7" s="34" customFormat="1" ht="47.25" x14ac:dyDescent="0.25">
      <c r="A35" s="263" t="s">
        <v>401</v>
      </c>
      <c r="B35" s="32">
        <f>SUM(B36:B38)</f>
        <v>19468.467200000003</v>
      </c>
      <c r="C35" s="21"/>
      <c r="D35" s="22"/>
      <c r="E35" s="33"/>
      <c r="F35" s="33"/>
      <c r="G35" s="33"/>
    </row>
    <row r="36" spans="1:7" hidden="1" x14ac:dyDescent="0.25">
      <c r="A36" s="224" t="s">
        <v>262</v>
      </c>
      <c r="B36" s="23"/>
      <c r="C36" s="39"/>
      <c r="D36" s="40"/>
    </row>
    <row r="37" spans="1:7" hidden="1" x14ac:dyDescent="0.25">
      <c r="A37" s="225" t="s">
        <v>263</v>
      </c>
      <c r="B37" s="20"/>
      <c r="C37" s="39"/>
      <c r="D37" s="40"/>
    </row>
    <row r="38" spans="1:7" x14ac:dyDescent="0.25">
      <c r="A38" s="226" t="s">
        <v>264</v>
      </c>
      <c r="B38" s="23">
        <f>16714*1.04*1.12</f>
        <v>19468.467200000003</v>
      </c>
      <c r="C38" s="39"/>
      <c r="D38" s="40"/>
    </row>
    <row r="39" spans="1:7" s="8" customFormat="1" x14ac:dyDescent="0.25">
      <c r="A39" s="186" t="s">
        <v>265</v>
      </c>
      <c r="B39" s="32">
        <f>SUM(B40:B58)</f>
        <v>81043.149999999994</v>
      </c>
      <c r="C39" s="21"/>
      <c r="D39" s="22"/>
    </row>
    <row r="40" spans="1:7" x14ac:dyDescent="0.25">
      <c r="A40" s="187" t="s">
        <v>326</v>
      </c>
      <c r="B40" s="20">
        <v>2839.2</v>
      </c>
      <c r="C40" s="21"/>
      <c r="D40" s="22"/>
      <c r="E40" s="3" t="s">
        <v>267</v>
      </c>
    </row>
    <row r="41" spans="1:7" x14ac:dyDescent="0.25">
      <c r="A41" s="35" t="s">
        <v>317</v>
      </c>
      <c r="B41" s="23">
        <v>3447.6</v>
      </c>
      <c r="C41" s="21"/>
      <c r="D41" s="22"/>
      <c r="E41" s="3" t="s">
        <v>269</v>
      </c>
    </row>
    <row r="42" spans="1:7" hidden="1" x14ac:dyDescent="0.25">
      <c r="A42" s="42" t="s">
        <v>270</v>
      </c>
      <c r="B42" s="23">
        <v>0</v>
      </c>
      <c r="C42" s="21"/>
      <c r="D42" s="22"/>
    </row>
    <row r="43" spans="1:7" hidden="1" x14ac:dyDescent="0.25">
      <c r="A43" s="143" t="s">
        <v>271</v>
      </c>
      <c r="B43" s="23">
        <v>0</v>
      </c>
      <c r="C43" s="21"/>
      <c r="D43" s="22"/>
    </row>
    <row r="44" spans="1:7" hidden="1" x14ac:dyDescent="0.25">
      <c r="A44" s="143" t="s">
        <v>272</v>
      </c>
      <c r="B44" s="23">
        <v>0</v>
      </c>
      <c r="C44" s="21"/>
      <c r="D44" s="22"/>
    </row>
    <row r="45" spans="1:7" hidden="1" x14ac:dyDescent="0.25">
      <c r="A45" s="42" t="s">
        <v>273</v>
      </c>
      <c r="B45" s="23">
        <f>B21*'[6]32тарифы'!D177</f>
        <v>0</v>
      </c>
      <c r="C45" s="21"/>
      <c r="D45" s="22">
        <v>105.14</v>
      </c>
    </row>
    <row r="46" spans="1:7" x14ac:dyDescent="0.25">
      <c r="A46" s="42" t="s">
        <v>274</v>
      </c>
      <c r="B46" s="23">
        <v>24000</v>
      </c>
      <c r="C46" s="21">
        <v>1</v>
      </c>
      <c r="D46" s="22">
        <v>522.99</v>
      </c>
    </row>
    <row r="47" spans="1:7" x14ac:dyDescent="0.25">
      <c r="A47" s="42" t="s">
        <v>275</v>
      </c>
      <c r="B47" s="23">
        <v>8133.61</v>
      </c>
      <c r="C47" s="21">
        <v>1</v>
      </c>
      <c r="D47" s="44">
        <v>657.53</v>
      </c>
    </row>
    <row r="48" spans="1:7" x14ac:dyDescent="0.25">
      <c r="A48" s="42" t="s">
        <v>282</v>
      </c>
      <c r="B48" s="23">
        <v>64.67</v>
      </c>
      <c r="C48" s="21"/>
      <c r="D48" s="44"/>
    </row>
    <row r="49" spans="1:5" hidden="1" x14ac:dyDescent="0.25">
      <c r="A49" s="143" t="s">
        <v>440</v>
      </c>
      <c r="B49" s="23"/>
      <c r="C49" s="21">
        <v>0</v>
      </c>
      <c r="D49" s="22">
        <f>10695.76/1.18</f>
        <v>9064.203389830509</v>
      </c>
    </row>
    <row r="50" spans="1:5" hidden="1" x14ac:dyDescent="0.25">
      <c r="A50" s="143" t="s">
        <v>403</v>
      </c>
      <c r="B50" s="20"/>
      <c r="C50" s="21">
        <v>0</v>
      </c>
      <c r="D50" s="22">
        <f>2300/1.18</f>
        <v>1949.1525423728815</v>
      </c>
    </row>
    <row r="51" spans="1:5" hidden="1" x14ac:dyDescent="0.25">
      <c r="A51" s="143" t="s">
        <v>348</v>
      </c>
      <c r="B51" s="23"/>
      <c r="C51" s="21">
        <v>0</v>
      </c>
      <c r="D51" s="22">
        <v>0</v>
      </c>
    </row>
    <row r="52" spans="1:5" hidden="1" x14ac:dyDescent="0.25">
      <c r="A52" s="143" t="s">
        <v>279</v>
      </c>
      <c r="B52" s="23">
        <f>B13*'[6]32тарифы'!D184</f>
        <v>0</v>
      </c>
      <c r="C52" s="21"/>
      <c r="D52" s="22"/>
    </row>
    <row r="53" spans="1:5" hidden="1" x14ac:dyDescent="0.25">
      <c r="A53" s="35" t="s">
        <v>280</v>
      </c>
      <c r="B53" s="105">
        <v>0</v>
      </c>
      <c r="C53" s="21"/>
      <c r="D53" s="22"/>
    </row>
    <row r="54" spans="1:5" ht="15" customHeight="1" x14ac:dyDescent="0.25">
      <c r="A54" s="224" t="s">
        <v>542</v>
      </c>
      <c r="B54" s="23">
        <v>4200</v>
      </c>
      <c r="C54" s="21"/>
      <c r="D54" s="22">
        <v>0</v>
      </c>
    </row>
    <row r="55" spans="1:5" ht="15.75" customHeight="1" x14ac:dyDescent="0.25">
      <c r="A55" s="35" t="s">
        <v>540</v>
      </c>
      <c r="B55" s="23">
        <v>17586.64</v>
      </c>
      <c r="C55" s="21"/>
      <c r="D55" s="22">
        <v>0</v>
      </c>
    </row>
    <row r="56" spans="1:5" x14ac:dyDescent="0.25">
      <c r="A56" s="35" t="s">
        <v>327</v>
      </c>
      <c r="B56" s="229">
        <v>20771.43</v>
      </c>
      <c r="C56" s="46">
        <v>1</v>
      </c>
      <c r="D56" s="22">
        <v>0</v>
      </c>
    </row>
    <row r="57" spans="1:5" hidden="1" x14ac:dyDescent="0.25">
      <c r="A57" s="35" t="s">
        <v>284</v>
      </c>
      <c r="B57" s="229">
        <v>0</v>
      </c>
      <c r="C57" s="46">
        <v>60</v>
      </c>
      <c r="D57" s="22">
        <v>2</v>
      </c>
      <c r="E57" s="3">
        <v>1</v>
      </c>
    </row>
    <row r="58" spans="1:5" hidden="1" x14ac:dyDescent="0.25">
      <c r="A58" s="35" t="s">
        <v>285</v>
      </c>
      <c r="B58" s="229">
        <v>0</v>
      </c>
      <c r="C58" s="48"/>
      <c r="D58" s="40">
        <v>0</v>
      </c>
    </row>
    <row r="59" spans="1:5" s="8" customFormat="1" x14ac:dyDescent="0.25">
      <c r="A59" s="189" t="s">
        <v>286</v>
      </c>
      <c r="B59" s="32">
        <f>SUM(B60:B67)</f>
        <v>194458.27459732836</v>
      </c>
      <c r="C59" s="39"/>
      <c r="D59" s="40"/>
    </row>
    <row r="60" spans="1:5" hidden="1" x14ac:dyDescent="0.25">
      <c r="A60" s="35" t="s">
        <v>287</v>
      </c>
      <c r="B60" s="23">
        <v>0</v>
      </c>
      <c r="C60" s="39"/>
      <c r="D60" s="40"/>
    </row>
    <row r="61" spans="1:5" x14ac:dyDescent="0.25">
      <c r="A61" s="187" t="s">
        <v>288</v>
      </c>
      <c r="B61" s="20">
        <f>103504*1.04*1.12</f>
        <v>120561.45920000001</v>
      </c>
      <c r="C61" s="39"/>
      <c r="D61" s="40"/>
    </row>
    <row r="62" spans="1:5" hidden="1" x14ac:dyDescent="0.25">
      <c r="A62" s="224" t="s">
        <v>289</v>
      </c>
      <c r="B62" s="23">
        <v>0</v>
      </c>
      <c r="C62" s="39"/>
      <c r="D62" s="40"/>
    </row>
    <row r="63" spans="1:5" x14ac:dyDescent="0.25">
      <c r="A63" s="226" t="s">
        <v>290</v>
      </c>
      <c r="B63" s="23">
        <f>'[6]32тарифы'!D164*B13*1.12</f>
        <v>3212.9918388983801</v>
      </c>
      <c r="C63" s="39"/>
      <c r="D63" s="40"/>
    </row>
    <row r="64" spans="1:5" x14ac:dyDescent="0.25">
      <c r="A64" s="163" t="s">
        <v>291</v>
      </c>
      <c r="B64" s="20">
        <f>'[6]32тарифы'!D165*B15*1.12</f>
        <v>16640.620415339508</v>
      </c>
      <c r="C64" s="39"/>
      <c r="D64" s="40"/>
    </row>
    <row r="65" spans="1:6" x14ac:dyDescent="0.25">
      <c r="A65" s="163" t="s">
        <v>292</v>
      </c>
      <c r="B65" s="20">
        <f>26576*1.04*1.12</f>
        <v>30955.724800000004</v>
      </c>
      <c r="C65" s="39"/>
      <c r="D65" s="40"/>
    </row>
    <row r="66" spans="1:6" x14ac:dyDescent="0.25">
      <c r="A66" s="226" t="s">
        <v>293</v>
      </c>
      <c r="B66" s="23">
        <f>4510*1.04*1.12</f>
        <v>5253.2480000000014</v>
      </c>
      <c r="C66" s="39"/>
      <c r="D66" s="40"/>
      <c r="F66" s="227">
        <f>B73+B39+665.89</f>
        <v>97621.489999999991</v>
      </c>
    </row>
    <row r="67" spans="1:6" x14ac:dyDescent="0.25">
      <c r="A67" s="163" t="s">
        <v>294</v>
      </c>
      <c r="B67" s="20">
        <f>('[6]32тарифы'!D167*B15)+('[6]32тарифы'!D187*B15)*1.12</f>
        <v>17834.230343090447</v>
      </c>
      <c r="C67" s="39"/>
      <c r="D67" s="40"/>
    </row>
    <row r="68" spans="1:6" ht="63" x14ac:dyDescent="0.25">
      <c r="A68" s="233" t="s">
        <v>295</v>
      </c>
      <c r="B68" s="264">
        <f>SUM(B69:B69)</f>
        <v>89600.000000000015</v>
      </c>
      <c r="C68" s="39"/>
      <c r="D68" s="40"/>
    </row>
    <row r="69" spans="1:6" x14ac:dyDescent="0.25">
      <c r="A69" s="163" t="s">
        <v>296</v>
      </c>
      <c r="B69" s="20">
        <f>80000*1.12</f>
        <v>89600.000000000015</v>
      </c>
      <c r="C69" s="39"/>
      <c r="D69" s="40"/>
    </row>
    <row r="70" spans="1:6" s="8" customFormat="1" x14ac:dyDescent="0.25">
      <c r="A70" s="230" t="s">
        <v>297</v>
      </c>
      <c r="B70" s="208">
        <f>SUM(B71:B74)</f>
        <v>84431.250911154522</v>
      </c>
      <c r="C70" s="39"/>
      <c r="D70" s="40"/>
    </row>
    <row r="71" spans="1:6" x14ac:dyDescent="0.25">
      <c r="A71" s="234" t="s">
        <v>298</v>
      </c>
      <c r="B71" s="23">
        <f>'[6]32тарифы'!D170*B15*1.12</f>
        <v>62798.86475109397</v>
      </c>
      <c r="C71" s="39"/>
      <c r="D71" s="40"/>
    </row>
    <row r="72" spans="1:6" hidden="1" x14ac:dyDescent="0.25">
      <c r="A72" s="234" t="s">
        <v>299</v>
      </c>
      <c r="B72" s="23">
        <f>(B26/1.2)*30%</f>
        <v>0</v>
      </c>
      <c r="C72" s="39"/>
      <c r="D72" s="40"/>
    </row>
    <row r="73" spans="1:6" x14ac:dyDescent="0.25">
      <c r="A73" s="235" t="s">
        <v>300</v>
      </c>
      <c r="B73" s="23">
        <f>8012.88+7899.57</f>
        <v>15912.45</v>
      </c>
      <c r="C73" s="39"/>
      <c r="D73" s="40"/>
    </row>
    <row r="74" spans="1:6" x14ac:dyDescent="0.25">
      <c r="A74" s="235" t="s">
        <v>301</v>
      </c>
      <c r="B74" s="23">
        <f>'[6]32тарифы'!D173*B13*1.12</f>
        <v>5719.9361600605489</v>
      </c>
      <c r="C74" s="39"/>
      <c r="D74" s="40"/>
    </row>
    <row r="75" spans="1:6" x14ac:dyDescent="0.25">
      <c r="A75" s="236" t="s">
        <v>302</v>
      </c>
      <c r="B75" s="28">
        <f>B32+B35+B39+B59+B68+B70</f>
        <v>603349.78270848293</v>
      </c>
      <c r="C75" s="39"/>
      <c r="D75" s="40"/>
    </row>
    <row r="76" spans="1:6" x14ac:dyDescent="0.25">
      <c r="A76" s="237" t="s">
        <v>303</v>
      </c>
      <c r="B76" s="23">
        <f>B75*0.03</f>
        <v>18100.493481254489</v>
      </c>
      <c r="C76" s="39"/>
      <c r="D76" s="40"/>
    </row>
    <row r="77" spans="1:6" s="34" customFormat="1" x14ac:dyDescent="0.25">
      <c r="A77" s="238" t="s">
        <v>304</v>
      </c>
      <c r="B77" s="208">
        <f>B75+B76</f>
        <v>621450.27618973737</v>
      </c>
      <c r="C77" s="39"/>
      <c r="D77" s="40"/>
    </row>
    <row r="78" spans="1:6" ht="16.5" thickBot="1" x14ac:dyDescent="0.3">
      <c r="A78" s="239" t="s">
        <v>305</v>
      </c>
      <c r="B78" s="240">
        <f>B77*0.2</f>
        <v>124290.05523794748</v>
      </c>
      <c r="C78" s="39"/>
      <c r="D78" s="40"/>
    </row>
    <row r="79" spans="1:6" s="8" customFormat="1" ht="16.5" thickBot="1" x14ac:dyDescent="0.3">
      <c r="A79" s="62" t="s">
        <v>306</v>
      </c>
      <c r="B79" s="265">
        <f>B77+B78</f>
        <v>745740.33142768487</v>
      </c>
      <c r="C79" s="60"/>
      <c r="D79" s="61"/>
    </row>
    <row r="80" spans="1:6" s="8" customFormat="1" ht="16.5" thickBot="1" x14ac:dyDescent="0.3">
      <c r="A80" s="62" t="s">
        <v>307</v>
      </c>
      <c r="B80" s="66">
        <f>B10+B24+B26+B28+B29-B79</f>
        <v>-1389719.8614276848</v>
      </c>
      <c r="C80" s="63"/>
      <c r="D80" s="63"/>
    </row>
    <row r="81" spans="1:4" s="8" customFormat="1" ht="16.5" thickBot="1" x14ac:dyDescent="0.3">
      <c r="A81" s="64" t="s">
        <v>308</v>
      </c>
      <c r="B81" s="66">
        <f>B10+B25+B27+B28+B29-B79</f>
        <v>-1398260.2514276849</v>
      </c>
      <c r="C81" s="63"/>
      <c r="D81" s="63"/>
    </row>
    <row r="82" spans="1:4" s="8" customFormat="1" hidden="1" x14ac:dyDescent="0.25">
      <c r="A82" s="266" t="s">
        <v>309</v>
      </c>
      <c r="B82" s="267">
        <f>B11+B24-B25</f>
        <v>8540.3899999999558</v>
      </c>
      <c r="C82" s="63"/>
      <c r="D82" s="63"/>
    </row>
    <row r="83" spans="1:4" x14ac:dyDescent="0.25">
      <c r="B83" s="227"/>
    </row>
    <row r="84" spans="1:4" x14ac:dyDescent="0.25">
      <c r="A84" s="69"/>
    </row>
    <row r="85" spans="1:4" x14ac:dyDescent="0.25">
      <c r="A85" s="333" t="s">
        <v>407</v>
      </c>
      <c r="B85" s="333"/>
    </row>
    <row r="86" spans="1:4" x14ac:dyDescent="0.25">
      <c r="A86" s="69"/>
    </row>
    <row r="87" spans="1:4" hidden="1" x14ac:dyDescent="0.25">
      <c r="A87" s="342" t="s">
        <v>408</v>
      </c>
      <c r="B87" s="343"/>
      <c r="C87" s="72"/>
    </row>
    <row r="88" spans="1:4" x14ac:dyDescent="0.25">
      <c r="A88"/>
      <c r="B88"/>
      <c r="C88"/>
      <c r="D88"/>
    </row>
    <row r="89" spans="1:4" x14ac:dyDescent="0.25">
      <c r="A89"/>
      <c r="B89"/>
      <c r="C89"/>
      <c r="D89"/>
    </row>
    <row r="94" spans="1:4" x14ac:dyDescent="0.25">
      <c r="A94"/>
      <c r="B94" s="70"/>
    </row>
  </sheetData>
  <autoFilter ref="A31:G82" xr:uid="{00000000-0009-0000-0000-00000B000000}">
    <filterColumn colId="1">
      <filters>
        <filter val="1 455,42"/>
        <filter val="1 694,52"/>
        <filter val="103 503,95"/>
        <filter val="12 611,54"/>
        <filter val="13 583,09"/>
        <filter val="14 520,07"/>
        <filter val="14 982,58"/>
        <filter val="15 693,29"/>
        <filter val="182 963,90"/>
        <filter val="23 174,65"/>
        <filter val="24 925,86"/>
        <filter val="25 915,02"/>
        <filter val="3 507,78"/>
        <filter val="33 924,76"/>
        <filter val="36 020,83"/>
        <filter val="39 298,01"/>
        <filter val="4 405,69"/>
        <filter val="-419 505,81"/>
        <filter val="-429 345,93"/>
        <filter val="45 195,94"/>
        <filter val="45 921,81"/>
        <filter val="452 769,83"/>
        <filter val="466 352,92"/>
        <filter val="48 818,41"/>
        <filter val="559 623,50"/>
        <filter val="6 275,88"/>
        <filter val="6 583,30"/>
        <filter val="6 675,79"/>
        <filter val="7 788,85"/>
        <filter val="709,80"/>
        <filter val="8 538,69"/>
        <filter val="9 289,80"/>
        <filter val="9 840,12"/>
        <filter val="90 571,75"/>
        <filter val="93 270,58"/>
      </filters>
    </filterColumn>
  </autoFilter>
  <mergeCells count="9">
    <mergeCell ref="D8:D9"/>
    <mergeCell ref="A85:B85"/>
    <mergeCell ref="A87:B87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83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filterMode="1">
    <pageSetUpPr fitToPage="1"/>
  </sheetPr>
  <dimension ref="A1:G95"/>
  <sheetViews>
    <sheetView view="pageBreakPreview" topLeftCell="A37" zoomScale="70" zoomScaleNormal="100" zoomScaleSheetLayoutView="70" workbookViewId="0">
      <selection activeCell="B81" sqref="B81"/>
    </sheetView>
  </sheetViews>
  <sheetFormatPr defaultRowHeight="12.75" x14ac:dyDescent="0.2"/>
  <cols>
    <col min="1" max="1" width="96.42578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13" t="s">
        <v>224</v>
      </c>
      <c r="B1" s="313"/>
      <c r="C1" s="3"/>
      <c r="D1" s="3"/>
    </row>
    <row r="2" spans="1:4" ht="16.5" x14ac:dyDescent="0.25">
      <c r="A2" s="315" t="s">
        <v>225</v>
      </c>
      <c r="B2" s="315"/>
      <c r="C2" s="3"/>
      <c r="D2" s="3"/>
    </row>
    <row r="3" spans="1:4" ht="16.5" x14ac:dyDescent="0.25">
      <c r="A3" s="315" t="s">
        <v>226</v>
      </c>
      <c r="B3" s="315"/>
      <c r="C3" s="3"/>
      <c r="D3" s="3"/>
    </row>
    <row r="4" spans="1:4" ht="15.75" x14ac:dyDescent="0.25">
      <c r="A4" s="4" t="s">
        <v>516</v>
      </c>
      <c r="B4" s="4"/>
      <c r="C4" s="3"/>
      <c r="D4" s="3"/>
    </row>
    <row r="5" spans="1:4" s="77" customFormat="1" ht="15.75" x14ac:dyDescent="0.25">
      <c r="A5" s="4" t="s">
        <v>24</v>
      </c>
      <c r="B5" s="4"/>
    </row>
    <row r="6" spans="1:4" ht="5.25" customHeight="1" x14ac:dyDescent="0.25">
      <c r="A6" s="4"/>
      <c r="B6" s="8"/>
      <c r="C6" s="8"/>
      <c r="D6" s="3"/>
    </row>
    <row r="7" spans="1:4" ht="16.5" thickBot="1" x14ac:dyDescent="0.3">
      <c r="A7" s="9"/>
      <c r="B7" s="8"/>
      <c r="C7" s="8"/>
      <c r="D7" s="3"/>
    </row>
    <row r="8" spans="1:4" ht="15.75" customHeight="1" x14ac:dyDescent="0.2">
      <c r="A8" s="335" t="s">
        <v>227</v>
      </c>
      <c r="B8" s="337" t="s">
        <v>228</v>
      </c>
      <c r="C8" s="307" t="s">
        <v>229</v>
      </c>
      <c r="D8" s="307" t="s">
        <v>230</v>
      </c>
    </row>
    <row r="9" spans="1:4" ht="28.5" customHeight="1" thickBot="1" x14ac:dyDescent="0.25">
      <c r="A9" s="336"/>
      <c r="B9" s="338"/>
      <c r="C9" s="308"/>
      <c r="D9" s="308"/>
    </row>
    <row r="10" spans="1:4" s="212" customFormat="1" ht="16.5" thickBot="1" x14ac:dyDescent="0.3">
      <c r="A10" s="209" t="s">
        <v>231</v>
      </c>
      <c r="B10" s="302">
        <f>VLOOKUP(A5,мкд!S:T,2,FALSE)</f>
        <v>-894526.52</v>
      </c>
      <c r="C10" s="211"/>
      <c r="D10" s="211"/>
    </row>
    <row r="11" spans="1:4" s="212" customFormat="1" ht="16.5" hidden="1" thickBot="1" x14ac:dyDescent="0.3">
      <c r="A11" s="213" t="s">
        <v>232</v>
      </c>
      <c r="B11" s="214"/>
      <c r="C11" s="215"/>
      <c r="D11" s="215"/>
    </row>
    <row r="12" spans="1:4" ht="15.75" x14ac:dyDescent="0.25">
      <c r="A12" s="216" t="s">
        <v>233</v>
      </c>
      <c r="B12" s="217"/>
      <c r="C12" s="17" t="s">
        <v>234</v>
      </c>
      <c r="D12" s="18" t="s">
        <v>234</v>
      </c>
    </row>
    <row r="13" spans="1:4" ht="15.75" hidden="1" x14ac:dyDescent="0.25">
      <c r="A13" s="19" t="s">
        <v>235</v>
      </c>
      <c r="B13" s="20">
        <v>3599.3</v>
      </c>
      <c r="C13" s="21" t="s">
        <v>234</v>
      </c>
      <c r="D13" s="22" t="s">
        <v>234</v>
      </c>
    </row>
    <row r="14" spans="1:4" ht="15.75" hidden="1" x14ac:dyDescent="0.25">
      <c r="A14" s="19" t="s">
        <v>236</v>
      </c>
      <c r="B14" s="20">
        <v>0</v>
      </c>
      <c r="C14" s="21"/>
      <c r="D14" s="22"/>
    </row>
    <row r="15" spans="1:4" ht="15.75" x14ac:dyDescent="0.25">
      <c r="A15" s="219" t="s">
        <v>237</v>
      </c>
      <c r="B15" s="23">
        <f>B13+B14</f>
        <v>3599.3</v>
      </c>
      <c r="C15" s="21"/>
      <c r="D15" s="22"/>
    </row>
    <row r="16" spans="1:4" ht="15.75" x14ac:dyDescent="0.25">
      <c r="A16" s="219" t="s">
        <v>238</v>
      </c>
      <c r="B16" s="23">
        <f>1403.5+2733.6/3</f>
        <v>2314.6999999999998</v>
      </c>
      <c r="C16" s="21" t="s">
        <v>234</v>
      </c>
      <c r="D16" s="22" t="s">
        <v>234</v>
      </c>
    </row>
    <row r="17" spans="1:7" ht="15.75" hidden="1" x14ac:dyDescent="0.25">
      <c r="A17" s="19" t="s">
        <v>239</v>
      </c>
      <c r="B17" s="20">
        <v>0</v>
      </c>
      <c r="C17" s="21" t="s">
        <v>234</v>
      </c>
      <c r="D17" s="22" t="s">
        <v>234</v>
      </c>
      <c r="E17" s="3"/>
      <c r="F17" s="3"/>
      <c r="G17" s="3"/>
    </row>
    <row r="18" spans="1:7" ht="15.75" hidden="1" x14ac:dyDescent="0.25">
      <c r="A18" s="19" t="s">
        <v>240</v>
      </c>
      <c r="B18" s="20">
        <v>874.2</v>
      </c>
      <c r="C18" s="21" t="s">
        <v>234</v>
      </c>
      <c r="D18" s="22" t="s">
        <v>234</v>
      </c>
      <c r="E18" s="3"/>
      <c r="F18" s="3"/>
      <c r="G18" s="3"/>
    </row>
    <row r="19" spans="1:7" ht="15.75" hidden="1" x14ac:dyDescent="0.25">
      <c r="A19" s="19" t="s">
        <v>241</v>
      </c>
      <c r="B19" s="20">
        <v>817</v>
      </c>
      <c r="C19" s="21" t="s">
        <v>234</v>
      </c>
      <c r="D19" s="22" t="s">
        <v>234</v>
      </c>
      <c r="E19" s="3"/>
      <c r="F19" s="3"/>
      <c r="G19" s="3"/>
    </row>
    <row r="20" spans="1:7" ht="15.75" hidden="1" x14ac:dyDescent="0.25">
      <c r="A20" s="19" t="s">
        <v>242</v>
      </c>
      <c r="B20" s="20">
        <v>1136</v>
      </c>
      <c r="C20" s="21"/>
      <c r="D20" s="22"/>
      <c r="E20" s="3"/>
      <c r="F20" s="3"/>
      <c r="G20" s="3"/>
    </row>
    <row r="21" spans="1:7" ht="15.75" hidden="1" x14ac:dyDescent="0.25">
      <c r="A21" s="19" t="s">
        <v>243</v>
      </c>
      <c r="B21" s="20">
        <v>0</v>
      </c>
      <c r="C21" s="21" t="s">
        <v>234</v>
      </c>
      <c r="D21" s="22" t="s">
        <v>234</v>
      </c>
      <c r="E21" s="3"/>
      <c r="F21" s="3"/>
      <c r="G21" s="3"/>
    </row>
    <row r="22" spans="1:7" ht="15.75" hidden="1" x14ac:dyDescent="0.25">
      <c r="A22" s="19" t="s">
        <v>244</v>
      </c>
      <c r="B22" s="20">
        <v>213</v>
      </c>
      <c r="C22" s="21"/>
      <c r="D22" s="22"/>
      <c r="E22" s="3"/>
      <c r="F22" s="3"/>
      <c r="G22" s="3"/>
    </row>
    <row r="23" spans="1:7" ht="15.75" x14ac:dyDescent="0.25">
      <c r="A23" s="219"/>
      <c r="B23" s="23"/>
      <c r="C23" s="21"/>
      <c r="D23" s="22"/>
      <c r="E23" s="3"/>
      <c r="F23" s="3"/>
      <c r="G23" s="3"/>
    </row>
    <row r="24" spans="1:7" ht="15.75" x14ac:dyDescent="0.25">
      <c r="A24" s="220" t="s">
        <v>319</v>
      </c>
      <c r="B24" s="28">
        <f>VLOOKUP(A5,'[5]Лист  1'!M$1:N$65536,2,FALSE)</f>
        <v>726887.46</v>
      </c>
      <c r="C24" s="21"/>
      <c r="D24" s="22"/>
      <c r="E24" s="26">
        <v>16.5</v>
      </c>
      <c r="F24" s="256">
        <v>18.470099999999999</v>
      </c>
      <c r="G24" s="3"/>
    </row>
    <row r="25" spans="1:7" ht="15.75" x14ac:dyDescent="0.25">
      <c r="A25" s="220" t="s">
        <v>320</v>
      </c>
      <c r="B25" s="28">
        <f>VLOOKUP(A5,'[5]Лист  1'!M$1:O$65536,3,FALSE)</f>
        <v>718893.08</v>
      </c>
      <c r="C25" s="21"/>
      <c r="D25" s="22"/>
      <c r="E25" s="3"/>
      <c r="F25" s="3"/>
      <c r="G25" s="3"/>
    </row>
    <row r="26" spans="1:7" ht="15.75" hidden="1" x14ac:dyDescent="0.25">
      <c r="A26" s="220" t="s">
        <v>321</v>
      </c>
      <c r="B26" s="28"/>
      <c r="C26" s="21"/>
      <c r="D26" s="22"/>
      <c r="E26" s="3"/>
      <c r="F26" s="3"/>
      <c r="G26" s="3"/>
    </row>
    <row r="27" spans="1:7" ht="15.75" hidden="1" x14ac:dyDescent="0.25">
      <c r="A27" s="220" t="s">
        <v>248</v>
      </c>
      <c r="B27" s="28">
        <f>B26</f>
        <v>0</v>
      </c>
      <c r="C27" s="21"/>
      <c r="D27" s="22"/>
      <c r="E27" s="3"/>
      <c r="F27" s="3"/>
      <c r="G27" s="3"/>
    </row>
    <row r="28" spans="1:7" ht="15.75" hidden="1" x14ac:dyDescent="0.25">
      <c r="A28" s="220" t="s">
        <v>399</v>
      </c>
      <c r="B28" s="28"/>
      <c r="C28" s="21"/>
      <c r="D28" s="22"/>
      <c r="E28" s="3"/>
      <c r="F28" s="3"/>
      <c r="G28" s="3"/>
    </row>
    <row r="29" spans="1:7" ht="15.75" hidden="1" x14ac:dyDescent="0.25">
      <c r="A29" s="220" t="s">
        <v>250</v>
      </c>
      <c r="B29" s="23"/>
      <c r="C29" s="21"/>
      <c r="D29" s="22"/>
      <c r="E29" s="3"/>
      <c r="F29" s="3"/>
      <c r="G29" s="3"/>
    </row>
    <row r="30" spans="1:7" ht="15.75" x14ac:dyDescent="0.25">
      <c r="A30" s="221"/>
      <c r="B30" s="23"/>
      <c r="C30" s="21"/>
      <c r="D30" s="22"/>
      <c r="E30" s="3"/>
      <c r="F30" s="3"/>
      <c r="G30" s="3"/>
    </row>
    <row r="31" spans="1:7" ht="15.75" x14ac:dyDescent="0.25">
      <c r="A31" s="222" t="s">
        <v>251</v>
      </c>
      <c r="B31" s="23"/>
      <c r="C31" s="21"/>
      <c r="D31" s="22"/>
      <c r="E31" s="3"/>
      <c r="F31" s="3"/>
      <c r="G31" s="3"/>
    </row>
    <row r="32" spans="1:7" s="34" customFormat="1" ht="31.5" x14ac:dyDescent="0.25">
      <c r="A32" s="223" t="s">
        <v>252</v>
      </c>
      <c r="B32" s="208">
        <f>SUM(B33:B41)</f>
        <v>173308.77</v>
      </c>
      <c r="C32" s="21"/>
      <c r="D32" s="22"/>
      <c r="E32" s="33">
        <f>(B86-B24-B26)/1.2/1.03</f>
        <v>419293.62779115268</v>
      </c>
      <c r="F32" s="33" t="e">
        <f>(#REF!-#REF!-#REF!)/1.2/1.03</f>
        <v>#REF!</v>
      </c>
      <c r="G32" s="33" t="e">
        <f>(#REF!-#REF!-#REF!)/1.2/1.03</f>
        <v>#REF!</v>
      </c>
    </row>
    <row r="33" spans="1:7" ht="15.75" x14ac:dyDescent="0.25">
      <c r="A33" s="224" t="s">
        <v>253</v>
      </c>
      <c r="B33" s="23">
        <v>64571.040000000001</v>
      </c>
      <c r="C33" s="21"/>
      <c r="D33" s="22">
        <v>29355.08</v>
      </c>
      <c r="E33" s="3"/>
      <c r="F33" s="3"/>
      <c r="G33" s="3"/>
    </row>
    <row r="34" spans="1:7" ht="15.75" x14ac:dyDescent="0.25">
      <c r="A34" s="224" t="s">
        <v>465</v>
      </c>
      <c r="B34" s="23">
        <v>69928.22</v>
      </c>
      <c r="C34" s="21"/>
      <c r="D34" s="22">
        <v>0</v>
      </c>
      <c r="E34" s="3"/>
      <c r="F34" s="3"/>
      <c r="G34" s="3"/>
    </row>
    <row r="35" spans="1:7" ht="15.75" x14ac:dyDescent="0.25">
      <c r="A35" s="224" t="s">
        <v>255</v>
      </c>
      <c r="B35" s="23">
        <v>29166.52</v>
      </c>
      <c r="C35" s="21"/>
      <c r="D35" s="22">
        <v>0</v>
      </c>
      <c r="E35" s="3"/>
      <c r="F35" s="3"/>
      <c r="G35" s="3"/>
    </row>
    <row r="36" spans="1:7" ht="16.5" hidden="1" x14ac:dyDescent="0.25">
      <c r="A36" s="249" t="s">
        <v>443</v>
      </c>
      <c r="B36" s="248"/>
      <c r="C36" s="21" t="s">
        <v>234</v>
      </c>
      <c r="D36" s="22">
        <v>0</v>
      </c>
      <c r="E36" s="3"/>
      <c r="F36" s="3"/>
      <c r="G36" s="3"/>
    </row>
    <row r="37" spans="1:7" ht="15.75" x14ac:dyDescent="0.25">
      <c r="A37" s="224" t="s">
        <v>257</v>
      </c>
      <c r="B37" s="20">
        <v>9642.99</v>
      </c>
      <c r="C37" s="21"/>
      <c r="D37" s="22">
        <v>0</v>
      </c>
      <c r="E37" s="3"/>
      <c r="F37" s="3"/>
      <c r="G37" s="3"/>
    </row>
    <row r="38" spans="1:7" ht="15.75" hidden="1" x14ac:dyDescent="0.25">
      <c r="A38" s="224" t="s">
        <v>258</v>
      </c>
      <c r="B38" s="23">
        <v>0</v>
      </c>
      <c r="C38" s="21"/>
      <c r="D38" s="22">
        <v>0</v>
      </c>
      <c r="E38" s="3"/>
      <c r="F38" s="3"/>
      <c r="G38" s="3"/>
    </row>
    <row r="39" spans="1:7" ht="15.75" hidden="1" x14ac:dyDescent="0.25">
      <c r="A39" s="35" t="s">
        <v>259</v>
      </c>
      <c r="B39" s="23">
        <v>0</v>
      </c>
      <c r="C39" s="21"/>
      <c r="D39" s="22">
        <v>0</v>
      </c>
      <c r="E39" s="3"/>
      <c r="F39" s="3"/>
      <c r="G39" s="3"/>
    </row>
    <row r="40" spans="1:7" ht="15.75" hidden="1" x14ac:dyDescent="0.25">
      <c r="A40" s="35" t="s">
        <v>312</v>
      </c>
      <c r="B40" s="23">
        <v>0</v>
      </c>
      <c r="C40" s="21"/>
      <c r="D40" s="22"/>
      <c r="E40" s="3"/>
      <c r="F40" s="3"/>
      <c r="G40" s="3"/>
    </row>
    <row r="41" spans="1:7" ht="15.75" hidden="1" x14ac:dyDescent="0.25">
      <c r="A41" s="35" t="s">
        <v>339</v>
      </c>
      <c r="B41" s="23"/>
      <c r="C41" s="21"/>
      <c r="D41" s="22"/>
      <c r="E41" s="3"/>
      <c r="F41" s="3"/>
      <c r="G41" s="3"/>
    </row>
    <row r="42" spans="1:7" s="34" customFormat="1" ht="47.25" x14ac:dyDescent="0.25">
      <c r="A42" s="223" t="s">
        <v>401</v>
      </c>
      <c r="B42" s="208">
        <f>SUM(B43:B45)</f>
        <v>163033.45719856216</v>
      </c>
      <c r="C42" s="21"/>
      <c r="D42" s="22"/>
      <c r="E42" s="33"/>
      <c r="F42" s="33"/>
      <c r="G42" s="33"/>
    </row>
    <row r="43" spans="1:7" ht="15.75" x14ac:dyDescent="0.25">
      <c r="A43" s="35" t="s">
        <v>262</v>
      </c>
      <c r="B43" s="23">
        <v>64003.61</v>
      </c>
      <c r="C43" s="39"/>
      <c r="D43" s="40"/>
      <c r="E43" s="3"/>
      <c r="F43" s="3"/>
      <c r="G43" s="3"/>
    </row>
    <row r="44" spans="1:7" ht="15.75" x14ac:dyDescent="0.25">
      <c r="A44" s="35" t="s">
        <v>263</v>
      </c>
      <c r="B44" s="23">
        <v>79772.92</v>
      </c>
      <c r="C44" s="39"/>
      <c r="D44" s="40"/>
      <c r="E44" s="3"/>
      <c r="F44" s="3"/>
      <c r="G44" s="3"/>
    </row>
    <row r="45" spans="1:7" ht="15.75" x14ac:dyDescent="0.25">
      <c r="A45" s="226" t="s">
        <v>264</v>
      </c>
      <c r="B45" s="23">
        <f>'[6]32тарифы'!D163*B15+143.72*1.12</f>
        <v>19256.927198562171</v>
      </c>
      <c r="C45" s="39"/>
      <c r="D45" s="40"/>
      <c r="E45" s="3"/>
      <c r="F45" s="3"/>
      <c r="G45" s="3"/>
    </row>
    <row r="46" spans="1:7" s="8" customFormat="1" ht="15.75" x14ac:dyDescent="0.25">
      <c r="A46" s="223" t="s">
        <v>265</v>
      </c>
      <c r="B46" s="208">
        <f>SUM(B47:B65)</f>
        <v>214740.65</v>
      </c>
      <c r="C46" s="21"/>
      <c r="D46" s="22"/>
    </row>
    <row r="47" spans="1:7" ht="15.75" x14ac:dyDescent="0.25">
      <c r="A47" s="224" t="s">
        <v>326</v>
      </c>
      <c r="B47" s="23">
        <v>3671.64</v>
      </c>
      <c r="C47" s="21"/>
      <c r="D47" s="22"/>
      <c r="E47" s="3" t="s">
        <v>267</v>
      </c>
      <c r="F47" s="3"/>
      <c r="G47" s="3"/>
    </row>
    <row r="48" spans="1:7" ht="15.75" x14ac:dyDescent="0.25">
      <c r="A48" s="224" t="s">
        <v>317</v>
      </c>
      <c r="B48" s="23">
        <v>4458.42</v>
      </c>
      <c r="C48" s="21"/>
      <c r="D48" s="22"/>
      <c r="E48" s="3" t="s">
        <v>269</v>
      </c>
      <c r="F48" s="3"/>
      <c r="G48" s="3"/>
    </row>
    <row r="49" spans="1:5" ht="15.75" hidden="1" x14ac:dyDescent="0.25">
      <c r="A49" s="143" t="s">
        <v>270</v>
      </c>
      <c r="B49" s="23">
        <v>0</v>
      </c>
      <c r="C49" s="21"/>
      <c r="D49" s="22"/>
      <c r="E49" s="3"/>
    </row>
    <row r="50" spans="1:5" ht="15.75" hidden="1" x14ac:dyDescent="0.25">
      <c r="A50" s="143" t="s">
        <v>403</v>
      </c>
      <c r="B50" s="20"/>
      <c r="C50" s="21"/>
      <c r="D50" s="22"/>
      <c r="E50" s="3"/>
    </row>
    <row r="51" spans="1:5" ht="15.75" x14ac:dyDescent="0.25">
      <c r="A51" s="143" t="s">
        <v>282</v>
      </c>
      <c r="B51" s="23">
        <v>0</v>
      </c>
      <c r="C51" s="21"/>
      <c r="D51" s="22"/>
      <c r="E51" s="3"/>
    </row>
    <row r="52" spans="1:5" ht="15.75" x14ac:dyDescent="0.25">
      <c r="A52" s="143" t="s">
        <v>542</v>
      </c>
      <c r="B52" s="23">
        <v>4200</v>
      </c>
      <c r="C52" s="21"/>
      <c r="D52" s="22">
        <v>105.14</v>
      </c>
      <c r="E52" s="3"/>
    </row>
    <row r="53" spans="1:5" ht="15.75" x14ac:dyDescent="0.25">
      <c r="A53" s="143" t="s">
        <v>419</v>
      </c>
      <c r="B53" s="20">
        <v>24000</v>
      </c>
      <c r="C53" s="21">
        <v>1</v>
      </c>
      <c r="D53" s="22">
        <v>522.99</v>
      </c>
      <c r="E53" s="3"/>
    </row>
    <row r="54" spans="1:5" ht="15.75" x14ac:dyDescent="0.25">
      <c r="A54" s="42" t="s">
        <v>359</v>
      </c>
      <c r="B54" s="20">
        <v>8133.61</v>
      </c>
      <c r="C54" s="21">
        <v>1</v>
      </c>
      <c r="D54" s="44">
        <v>657.53</v>
      </c>
      <c r="E54" s="3"/>
    </row>
    <row r="55" spans="1:5" ht="15.75" hidden="1" x14ac:dyDescent="0.25">
      <c r="A55" s="143" t="s">
        <v>276</v>
      </c>
      <c r="B55" s="23">
        <v>0</v>
      </c>
      <c r="C55" s="21"/>
      <c r="D55" s="44"/>
      <c r="E55" s="3"/>
    </row>
    <row r="56" spans="1:5" ht="18" customHeight="1" x14ac:dyDescent="0.25">
      <c r="A56" s="143" t="s">
        <v>540</v>
      </c>
      <c r="B56" s="23">
        <v>18312.73</v>
      </c>
      <c r="C56" s="21">
        <v>0</v>
      </c>
      <c r="D56" s="22">
        <f>10695.76/1.18</f>
        <v>9064.203389830509</v>
      </c>
      <c r="E56" s="3"/>
    </row>
    <row r="57" spans="1:5" ht="15.75" customHeight="1" x14ac:dyDescent="0.25">
      <c r="A57" s="143" t="s">
        <v>543</v>
      </c>
      <c r="B57" s="23">
        <v>79800</v>
      </c>
      <c r="C57" s="21">
        <v>0</v>
      </c>
      <c r="D57" s="22">
        <f>2300/1.18</f>
        <v>1949.1525423728815</v>
      </c>
      <c r="E57" s="3"/>
    </row>
    <row r="58" spans="1:5" ht="15.75" x14ac:dyDescent="0.25">
      <c r="A58" s="143" t="s">
        <v>541</v>
      </c>
      <c r="B58" s="20">
        <v>15912</v>
      </c>
      <c r="C58" s="21">
        <v>0</v>
      </c>
      <c r="D58" s="22">
        <v>0</v>
      </c>
      <c r="E58" s="227">
        <f>B80+B46+502.09</f>
        <v>233966.07999999999</v>
      </c>
    </row>
    <row r="59" spans="1:5" ht="15.75" hidden="1" x14ac:dyDescent="0.25">
      <c r="A59" s="143" t="s">
        <v>279</v>
      </c>
      <c r="B59" s="20">
        <f>B13*'[6]32тарифы'!D184</f>
        <v>0</v>
      </c>
      <c r="C59" s="21"/>
      <c r="D59" s="22"/>
      <c r="E59" s="3"/>
    </row>
    <row r="60" spans="1:5" ht="15.75" hidden="1" x14ac:dyDescent="0.25">
      <c r="A60" s="35" t="s">
        <v>280</v>
      </c>
      <c r="B60" s="105">
        <v>0</v>
      </c>
      <c r="C60" s="21"/>
      <c r="D60" s="22"/>
      <c r="E60" s="3"/>
    </row>
    <row r="61" spans="1:5" ht="15.75" hidden="1" x14ac:dyDescent="0.25">
      <c r="A61" s="35" t="s">
        <v>281</v>
      </c>
      <c r="B61" s="105">
        <v>0</v>
      </c>
      <c r="C61" s="21"/>
      <c r="D61" s="22">
        <v>0</v>
      </c>
      <c r="E61" s="3"/>
    </row>
    <row r="62" spans="1:5" ht="15.75" hidden="1" x14ac:dyDescent="0.25">
      <c r="A62" s="224" t="s">
        <v>274</v>
      </c>
      <c r="B62" s="20"/>
      <c r="C62" s="21"/>
      <c r="D62" s="22">
        <v>0</v>
      </c>
      <c r="E62" s="3"/>
    </row>
    <row r="63" spans="1:5" ht="15.75" x14ac:dyDescent="0.25">
      <c r="A63" s="224" t="s">
        <v>327</v>
      </c>
      <c r="B63" s="229">
        <v>25364.49</v>
      </c>
      <c r="C63" s="46">
        <v>1</v>
      </c>
      <c r="D63" s="22">
        <v>0</v>
      </c>
      <c r="E63" s="3"/>
    </row>
    <row r="64" spans="1:5" ht="15.75" hidden="1" x14ac:dyDescent="0.25">
      <c r="A64" s="35" t="s">
        <v>284</v>
      </c>
      <c r="B64" s="229">
        <v>0</v>
      </c>
      <c r="C64" s="46">
        <v>80</v>
      </c>
      <c r="D64" s="22">
        <v>2</v>
      </c>
      <c r="E64" s="3">
        <v>1</v>
      </c>
    </row>
    <row r="65" spans="1:4" ht="16.5" x14ac:dyDescent="0.25">
      <c r="A65" s="250" t="s">
        <v>443</v>
      </c>
      <c r="B65" s="229">
        <v>30887.759999999998</v>
      </c>
      <c r="C65" s="48"/>
      <c r="D65" s="40">
        <v>0</v>
      </c>
    </row>
    <row r="66" spans="1:4" s="8" customFormat="1" ht="15.75" x14ac:dyDescent="0.25">
      <c r="A66" s="230" t="s">
        <v>286</v>
      </c>
      <c r="B66" s="208">
        <f>SUM(B67:B74)</f>
        <v>220726.87337597198</v>
      </c>
      <c r="C66" s="39"/>
      <c r="D66" s="40"/>
    </row>
    <row r="67" spans="1:4" ht="15.75" hidden="1" x14ac:dyDescent="0.25">
      <c r="A67" s="35" t="s">
        <v>287</v>
      </c>
      <c r="B67" s="23">
        <v>0</v>
      </c>
      <c r="C67" s="39"/>
      <c r="D67" s="40"/>
    </row>
    <row r="68" spans="1:4" ht="15.75" x14ac:dyDescent="0.25">
      <c r="A68" s="224" t="s">
        <v>288</v>
      </c>
      <c r="B68" s="232">
        <f>101705*1.04*1.12</f>
        <v>118465.98400000001</v>
      </c>
      <c r="C68" s="39"/>
      <c r="D68" s="40"/>
    </row>
    <row r="69" spans="1:4" ht="15.75" hidden="1" x14ac:dyDescent="0.25">
      <c r="A69" s="35" t="s">
        <v>289</v>
      </c>
      <c r="B69" s="23">
        <v>0</v>
      </c>
      <c r="C69" s="39"/>
      <c r="D69" s="40"/>
    </row>
    <row r="70" spans="1:4" ht="15.75" x14ac:dyDescent="0.25">
      <c r="A70" s="226" t="s">
        <v>290</v>
      </c>
      <c r="B70" s="23">
        <f>'[6]32тарифы'!D164*B13*1.12</f>
        <v>4444.3032649578954</v>
      </c>
      <c r="C70" s="39"/>
      <c r="D70" s="40"/>
    </row>
    <row r="71" spans="1:4" ht="15.75" x14ac:dyDescent="0.25">
      <c r="A71" s="226" t="s">
        <v>291</v>
      </c>
      <c r="B71" s="23">
        <f>'[6]32тарифы'!D165*B15*1.12</f>
        <v>23017.787579620879</v>
      </c>
      <c r="C71" s="39"/>
      <c r="D71" s="40"/>
    </row>
    <row r="72" spans="1:4" ht="15.75" x14ac:dyDescent="0.25">
      <c r="A72" s="226" t="s">
        <v>292</v>
      </c>
      <c r="B72" s="23">
        <f>36761*1.04*1.12</f>
        <v>42819.212800000008</v>
      </c>
      <c r="C72" s="39"/>
      <c r="D72" s="40"/>
    </row>
    <row r="73" spans="1:4" ht="15.75" x14ac:dyDescent="0.25">
      <c r="A73" s="226" t="s">
        <v>293</v>
      </c>
      <c r="B73" s="23">
        <f>6276.41*1.04*1.12</f>
        <v>7310.7623680000006</v>
      </c>
      <c r="C73" s="39"/>
      <c r="D73" s="40"/>
    </row>
    <row r="74" spans="1:4" ht="15.75" x14ac:dyDescent="0.25">
      <c r="A74" s="226" t="s">
        <v>294</v>
      </c>
      <c r="B74" s="23">
        <f>('[6]32тарифы'!D167*B15)+('[6]32тарифы'!D187*B15)*1.12</f>
        <v>24668.823363393203</v>
      </c>
      <c r="C74" s="39"/>
      <c r="D74" s="40"/>
    </row>
    <row r="75" spans="1:4" ht="63" x14ac:dyDescent="0.25">
      <c r="A75" s="233" t="s">
        <v>295</v>
      </c>
      <c r="B75" s="208">
        <f>SUM(B76:B76)</f>
        <v>122080.00000000001</v>
      </c>
      <c r="C75" s="39"/>
      <c r="D75" s="40"/>
    </row>
    <row r="76" spans="1:4" ht="15.75" x14ac:dyDescent="0.25">
      <c r="A76" s="226" t="s">
        <v>296</v>
      </c>
      <c r="B76" s="23">
        <f>109000*1.12</f>
        <v>122080.00000000001</v>
      </c>
      <c r="C76" s="39"/>
      <c r="D76" s="40"/>
    </row>
    <row r="77" spans="1:4" s="8" customFormat="1" ht="15.75" x14ac:dyDescent="0.25">
      <c r="A77" s="230" t="s">
        <v>297</v>
      </c>
      <c r="B77" s="208">
        <f>SUM(B78:B81)</f>
        <v>113500.52770205545</v>
      </c>
      <c r="C77" s="39"/>
      <c r="D77" s="40"/>
    </row>
    <row r="78" spans="1:4" ht="15.75" x14ac:dyDescent="0.25">
      <c r="A78" s="234" t="s">
        <v>298</v>
      </c>
      <c r="B78" s="23">
        <f>'[6]32тарифы'!D170*B15*1.12</f>
        <v>86865.206524965441</v>
      </c>
      <c r="C78" s="39"/>
      <c r="D78" s="40"/>
    </row>
    <row r="79" spans="1:4" ht="15.75" hidden="1" x14ac:dyDescent="0.25">
      <c r="A79" s="234" t="s">
        <v>299</v>
      </c>
      <c r="B79" s="232">
        <f>(B26/1.2)*30%</f>
        <v>0</v>
      </c>
      <c r="C79" s="39"/>
      <c r="D79" s="40"/>
    </row>
    <row r="80" spans="1:4" ht="15.75" x14ac:dyDescent="0.25">
      <c r="A80" s="235" t="s">
        <v>300</v>
      </c>
      <c r="B80" s="23">
        <f>10740.58+7982.76</f>
        <v>18723.34</v>
      </c>
      <c r="C80" s="39"/>
      <c r="D80" s="40"/>
    </row>
    <row r="81" spans="1:4" ht="15.75" x14ac:dyDescent="0.25">
      <c r="A81" s="235" t="s">
        <v>301</v>
      </c>
      <c r="B81" s="23">
        <f>'[6]32тарифы'!D173*B13*1.12</f>
        <v>7911.9811770900178</v>
      </c>
      <c r="C81" s="39"/>
      <c r="D81" s="40"/>
    </row>
    <row r="82" spans="1:4" ht="15.75" x14ac:dyDescent="0.25">
      <c r="A82" s="236" t="s">
        <v>302</v>
      </c>
      <c r="B82" s="28">
        <f>B32+B42+B46+B66+B75+B77</f>
        <v>1007390.2782765895</v>
      </c>
      <c r="C82" s="39"/>
      <c r="D82" s="40"/>
    </row>
    <row r="83" spans="1:4" ht="15.75" x14ac:dyDescent="0.25">
      <c r="A83" s="237" t="s">
        <v>303</v>
      </c>
      <c r="B83" s="23">
        <f>B82*0.03</f>
        <v>30221.708348297681</v>
      </c>
      <c r="C83" s="39"/>
      <c r="D83" s="40"/>
    </row>
    <row r="84" spans="1:4" s="34" customFormat="1" ht="15.75" x14ac:dyDescent="0.25">
      <c r="A84" s="238" t="s">
        <v>304</v>
      </c>
      <c r="B84" s="208">
        <f>B82+B83</f>
        <v>1037611.9866248871</v>
      </c>
      <c r="C84" s="39"/>
      <c r="D84" s="40"/>
    </row>
    <row r="85" spans="1:4" ht="16.5" thickBot="1" x14ac:dyDescent="0.3">
      <c r="A85" s="239" t="s">
        <v>305</v>
      </c>
      <c r="B85" s="240">
        <f>B84*0.2</f>
        <v>207522.39732497744</v>
      </c>
      <c r="C85" s="39"/>
      <c r="D85" s="40"/>
    </row>
    <row r="86" spans="1:4" s="8" customFormat="1" ht="16.5" thickBot="1" x14ac:dyDescent="0.3">
      <c r="A86" s="58" t="s">
        <v>306</v>
      </c>
      <c r="B86" s="66">
        <f>B84+B85</f>
        <v>1245134.3839498647</v>
      </c>
      <c r="C86" s="60"/>
      <c r="D86" s="61"/>
    </row>
    <row r="87" spans="1:4" s="8" customFormat="1" ht="16.5" thickBot="1" x14ac:dyDescent="0.3">
      <c r="A87" s="62" t="s">
        <v>307</v>
      </c>
      <c r="B87" s="296">
        <f>B10+B24+B26+B28+B29-B86</f>
        <v>-1412773.4439498647</v>
      </c>
      <c r="C87" s="63"/>
      <c r="D87" s="63"/>
    </row>
    <row r="88" spans="1:4" s="8" customFormat="1" ht="16.5" thickBot="1" x14ac:dyDescent="0.3">
      <c r="A88" s="64" t="s">
        <v>308</v>
      </c>
      <c r="B88" s="66">
        <f>B10+B25+B27+B28+B29-B86</f>
        <v>-1420767.8239498646</v>
      </c>
      <c r="C88" s="63"/>
      <c r="D88" s="63"/>
    </row>
    <row r="89" spans="1:4" s="8" customFormat="1" ht="16.5" hidden="1" thickBot="1" x14ac:dyDescent="0.3">
      <c r="A89" s="241" t="s">
        <v>309</v>
      </c>
      <c r="B89" s="66">
        <f>B11+B24-B25</f>
        <v>7994.3800000000047</v>
      </c>
      <c r="C89" s="63"/>
      <c r="D89" s="63"/>
    </row>
    <row r="90" spans="1:4" ht="15.75" x14ac:dyDescent="0.25">
      <c r="A90" s="3"/>
      <c r="B90" s="227"/>
      <c r="C90" s="3"/>
      <c r="D90" s="3"/>
    </row>
    <row r="91" spans="1:4" ht="15.75" x14ac:dyDescent="0.25">
      <c r="A91" s="69"/>
      <c r="B91" s="3"/>
      <c r="C91" s="3"/>
      <c r="D91" s="3"/>
    </row>
    <row r="92" spans="1:4" ht="15.75" x14ac:dyDescent="0.25">
      <c r="A92" s="333" t="s">
        <v>407</v>
      </c>
      <c r="B92" s="333"/>
      <c r="C92" s="3"/>
      <c r="D92" s="3"/>
    </row>
    <row r="93" spans="1:4" ht="15.75" x14ac:dyDescent="0.25">
      <c r="A93" s="69"/>
      <c r="B93" s="3"/>
      <c r="C93" s="3"/>
      <c r="D93" s="3"/>
    </row>
    <row r="94" spans="1:4" ht="15.75" hidden="1" x14ac:dyDescent="0.25">
      <c r="A94" s="342" t="s">
        <v>408</v>
      </c>
      <c r="B94" s="342"/>
      <c r="C94" s="72"/>
      <c r="D94" s="3"/>
    </row>
    <row r="95" spans="1:4" ht="15.75" x14ac:dyDescent="0.25">
      <c r="A95" s="3"/>
      <c r="B95" s="3"/>
      <c r="C95" s="3"/>
      <c r="D95" s="3"/>
    </row>
  </sheetData>
  <autoFilter ref="A31:G89" xr:uid="{00000000-0009-0000-0000-00000C000000}">
    <filterColumn colId="1">
      <filters>
        <filter val="1 110 260,69"/>
        <filter val="1 253,00"/>
        <filter val="1 360,00"/>
        <filter val="102 485,86"/>
        <filter val="11 509,83"/>
        <filter val="112,00"/>
        <filter val="116 634,21"/>
        <filter val="118 465,98"/>
        <filter val="122 080,00"/>
        <filter val="163 033,46"/>
        <filter val="173 308,77"/>
        <filter val="185 043,45"/>
        <filter val="19 256,93"/>
        <filter val="21 857,02"/>
        <filter val="220 726,87"/>
        <filter val="23 017,79"/>
        <filter val="24 000,00"/>
        <filter val="24 668,82"/>
        <filter val="25 233,21"/>
        <filter val="26 948,08"/>
        <filter val="29 166,52"/>
        <filter val="3 671,64"/>
        <filter val="30 887,76"/>
        <filter val="4 444,30"/>
        <filter val="4 458,42"/>
        <filter val="42 819,21"/>
        <filter val="64 003,61"/>
        <filter val="64 571,04"/>
        <filter val="69 928,22"/>
        <filter val="7 310,76"/>
        <filter val="7 911,98"/>
        <filter val="7 994,38"/>
        <filter val="79 772,92"/>
        <filter val="86 865,21"/>
        <filter val="-894 526,52"/>
        <filter val="898 269,17"/>
        <filter val="9 642,99"/>
        <filter val="-902 520,90"/>
        <filter val="925 217,24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74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G95"/>
  <sheetViews>
    <sheetView view="pageBreakPreview" topLeftCell="A49" zoomScale="70" zoomScaleNormal="100" zoomScaleSheetLayoutView="70" workbookViewId="0">
      <selection activeCell="B80" sqref="B80"/>
    </sheetView>
  </sheetViews>
  <sheetFormatPr defaultRowHeight="12.75" x14ac:dyDescent="0.2"/>
  <cols>
    <col min="1" max="1" width="96.42578125" customWidth="1"/>
    <col min="2" max="2" width="18.14062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13" t="s">
        <v>224</v>
      </c>
      <c r="B1" s="313"/>
      <c r="C1" s="77"/>
      <c r="D1" s="77"/>
    </row>
    <row r="2" spans="1:4" ht="16.5" x14ac:dyDescent="0.25">
      <c r="A2" s="315" t="s">
        <v>225</v>
      </c>
      <c r="B2" s="315"/>
      <c r="C2" s="77"/>
      <c r="D2" s="77"/>
    </row>
    <row r="3" spans="1:4" ht="16.5" x14ac:dyDescent="0.25">
      <c r="A3" s="315" t="s">
        <v>226</v>
      </c>
      <c r="B3" s="315"/>
      <c r="C3" s="77"/>
      <c r="D3" s="77"/>
    </row>
    <row r="4" spans="1:4" s="3" customFormat="1" ht="15.75" x14ac:dyDescent="0.25">
      <c r="A4" s="4" t="s">
        <v>516</v>
      </c>
      <c r="B4" s="4"/>
    </row>
    <row r="5" spans="1:4" ht="15.75" x14ac:dyDescent="0.25">
      <c r="A5" s="4" t="s">
        <v>26</v>
      </c>
      <c r="B5" s="4"/>
      <c r="C5" s="77"/>
      <c r="D5" s="77"/>
    </row>
    <row r="6" spans="1:4" ht="5.25" customHeight="1" x14ac:dyDescent="0.25">
      <c r="A6" s="4"/>
      <c r="B6" s="8"/>
      <c r="C6" s="79"/>
      <c r="D6" s="77"/>
    </row>
    <row r="7" spans="1:4" s="3" customFormat="1" ht="16.5" thickBot="1" x14ac:dyDescent="0.3">
      <c r="A7" s="9"/>
      <c r="B7" s="8"/>
      <c r="C7" s="8"/>
    </row>
    <row r="8" spans="1:4" ht="15.75" customHeight="1" x14ac:dyDescent="0.2">
      <c r="A8" s="335" t="s">
        <v>227</v>
      </c>
      <c r="B8" s="337" t="s">
        <v>228</v>
      </c>
      <c r="C8" s="307" t="s">
        <v>229</v>
      </c>
      <c r="D8" s="307" t="s">
        <v>230</v>
      </c>
    </row>
    <row r="9" spans="1:4" ht="28.5" customHeight="1" thickBot="1" x14ac:dyDescent="0.25">
      <c r="A9" s="336"/>
      <c r="B9" s="338"/>
      <c r="C9" s="308"/>
      <c r="D9" s="308"/>
    </row>
    <row r="10" spans="1:4" s="212" customFormat="1" ht="16.5" thickBot="1" x14ac:dyDescent="0.3">
      <c r="A10" s="209" t="s">
        <v>231</v>
      </c>
      <c r="B10" s="302">
        <f>VLOOKUP(A5,мкд!S:T,2,FALSE)</f>
        <v>-744046.22</v>
      </c>
      <c r="C10" s="211"/>
      <c r="D10" s="211"/>
    </row>
    <row r="11" spans="1:4" s="212" customFormat="1" ht="16.5" hidden="1" thickBot="1" x14ac:dyDescent="0.3">
      <c r="A11" s="213" t="s">
        <v>232</v>
      </c>
      <c r="B11" s="214"/>
      <c r="C11" s="215"/>
      <c r="D11" s="215"/>
    </row>
    <row r="12" spans="1:4" ht="15.75" x14ac:dyDescent="0.25">
      <c r="A12" s="216" t="s">
        <v>233</v>
      </c>
      <c r="B12" s="217"/>
      <c r="C12" s="17" t="s">
        <v>234</v>
      </c>
      <c r="D12" s="18" t="s">
        <v>234</v>
      </c>
    </row>
    <row r="13" spans="1:4" s="3" customFormat="1" ht="15.75" hidden="1" x14ac:dyDescent="0.25">
      <c r="A13" s="19" t="s">
        <v>235</v>
      </c>
      <c r="B13" s="20">
        <v>5631.3</v>
      </c>
      <c r="C13" s="218" t="s">
        <v>234</v>
      </c>
      <c r="D13" s="22" t="s">
        <v>234</v>
      </c>
    </row>
    <row r="14" spans="1:4" s="3" customFormat="1" ht="15.75" hidden="1" x14ac:dyDescent="0.25">
      <c r="A14" s="19" t="s">
        <v>236</v>
      </c>
      <c r="B14" s="20">
        <v>0</v>
      </c>
      <c r="C14" s="218"/>
      <c r="D14" s="22"/>
    </row>
    <row r="15" spans="1:4" s="3" customFormat="1" ht="15.75" x14ac:dyDescent="0.25">
      <c r="A15" s="219" t="s">
        <v>237</v>
      </c>
      <c r="B15" s="23">
        <f>B13+B14</f>
        <v>5631.3</v>
      </c>
      <c r="C15" s="21"/>
      <c r="D15" s="22"/>
    </row>
    <row r="16" spans="1:4" s="3" customFormat="1" ht="15.75" x14ac:dyDescent="0.25">
      <c r="A16" s="219" t="s">
        <v>238</v>
      </c>
      <c r="B16" s="23">
        <f>1289.6+3687.3/3</f>
        <v>2518.6999999999998</v>
      </c>
      <c r="C16" s="21" t="s">
        <v>234</v>
      </c>
      <c r="D16" s="22" t="s">
        <v>234</v>
      </c>
    </row>
    <row r="17" spans="1:7" s="270" customFormat="1" ht="15.75" hidden="1" x14ac:dyDescent="0.25">
      <c r="A17" s="19" t="s">
        <v>239</v>
      </c>
      <c r="B17" s="20">
        <v>0</v>
      </c>
      <c r="C17" s="268" t="s">
        <v>234</v>
      </c>
      <c r="D17" s="269" t="s">
        <v>234</v>
      </c>
    </row>
    <row r="18" spans="1:7" s="3" customFormat="1" ht="15.75" hidden="1" x14ac:dyDescent="0.25">
      <c r="A18" s="19" t="s">
        <v>240</v>
      </c>
      <c r="B18" s="20">
        <v>781</v>
      </c>
      <c r="C18" s="218" t="s">
        <v>234</v>
      </c>
      <c r="D18" s="22" t="s">
        <v>234</v>
      </c>
    </row>
    <row r="19" spans="1:7" s="3" customFormat="1" ht="15.75" hidden="1" x14ac:dyDescent="0.25">
      <c r="A19" s="19" t="s">
        <v>241</v>
      </c>
      <c r="B19" s="20">
        <v>0</v>
      </c>
      <c r="C19" s="218" t="s">
        <v>234</v>
      </c>
      <c r="D19" s="22" t="s">
        <v>234</v>
      </c>
    </row>
    <row r="20" spans="1:7" s="3" customFormat="1" ht="15.75" hidden="1" x14ac:dyDescent="0.25">
      <c r="A20" s="19" t="s">
        <v>242</v>
      </c>
      <c r="B20" s="20">
        <v>845</v>
      </c>
      <c r="C20" s="218"/>
      <c r="D20" s="22"/>
    </row>
    <row r="21" spans="1:7" s="3" customFormat="1" ht="15.75" hidden="1" x14ac:dyDescent="0.25">
      <c r="A21" s="19" t="s">
        <v>243</v>
      </c>
      <c r="B21" s="20">
        <v>3</v>
      </c>
      <c r="C21" s="218" t="s">
        <v>234</v>
      </c>
      <c r="D21" s="22" t="s">
        <v>234</v>
      </c>
    </row>
    <row r="22" spans="1:7" s="3" customFormat="1" ht="15.75" hidden="1" x14ac:dyDescent="0.25">
      <c r="A22" s="19" t="s">
        <v>244</v>
      </c>
      <c r="B22" s="20">
        <v>304</v>
      </c>
      <c r="C22" s="218"/>
      <c r="D22" s="22"/>
      <c r="E22" s="3">
        <v>10</v>
      </c>
      <c r="F22" s="3">
        <v>2</v>
      </c>
    </row>
    <row r="23" spans="1:7" ht="15.75" x14ac:dyDescent="0.25">
      <c r="A23" s="219"/>
      <c r="B23" s="23"/>
      <c r="C23" s="21"/>
      <c r="D23" s="22"/>
      <c r="E23" s="26">
        <v>8.4700000000000006</v>
      </c>
      <c r="F23" s="256">
        <v>9.4813179999999999</v>
      </c>
      <c r="G23" s="77"/>
    </row>
    <row r="24" spans="1:7" s="3" customFormat="1" ht="15.75" x14ac:dyDescent="0.25">
      <c r="A24" s="220" t="s">
        <v>319</v>
      </c>
      <c r="B24" s="28">
        <f>VLOOKUP(A5,'[5]Лист  1'!M$1:N$65536,2,FALSE)</f>
        <v>583740.12</v>
      </c>
      <c r="C24" s="21"/>
      <c r="D24" s="22"/>
      <c r="F24" s="3" t="s">
        <v>458</v>
      </c>
    </row>
    <row r="25" spans="1:7" s="3" customFormat="1" ht="15.75" x14ac:dyDescent="0.25">
      <c r="A25" s="220" t="s">
        <v>320</v>
      </c>
      <c r="B25" s="271">
        <f>VLOOKUP(A5,'[5]Лист  1'!M$1:O$65536,3,FALSE)</f>
        <v>581771.71</v>
      </c>
      <c r="C25" s="21"/>
      <c r="D25" s="22"/>
    </row>
    <row r="26" spans="1:7" s="3" customFormat="1" ht="15.75" hidden="1" x14ac:dyDescent="0.25">
      <c r="A26" s="220" t="s">
        <v>321</v>
      </c>
      <c r="B26" s="28"/>
      <c r="C26" s="21"/>
      <c r="D26" s="22"/>
    </row>
    <row r="27" spans="1:7" s="3" customFormat="1" ht="15.75" hidden="1" x14ac:dyDescent="0.25">
      <c r="A27" s="220" t="s">
        <v>248</v>
      </c>
      <c r="B27" s="28">
        <f>B26</f>
        <v>0</v>
      </c>
      <c r="C27" s="21"/>
      <c r="D27" s="22"/>
    </row>
    <row r="28" spans="1:7" s="3" customFormat="1" ht="15.75" x14ac:dyDescent="0.25">
      <c r="A28" s="220" t="s">
        <v>399</v>
      </c>
      <c r="B28" s="28">
        <v>4500</v>
      </c>
      <c r="C28" s="21"/>
      <c r="D28" s="22"/>
    </row>
    <row r="29" spans="1:7" s="3" customFormat="1" ht="15.75" hidden="1" x14ac:dyDescent="0.25">
      <c r="A29" s="220" t="s">
        <v>250</v>
      </c>
      <c r="B29" s="23"/>
      <c r="C29" s="21"/>
      <c r="D29" s="22"/>
    </row>
    <row r="30" spans="1:7" ht="15.75" x14ac:dyDescent="0.25">
      <c r="A30" s="221"/>
      <c r="B30" s="23"/>
      <c r="C30" s="21"/>
      <c r="D30" s="22"/>
      <c r="E30" s="77"/>
      <c r="F30" s="77"/>
      <c r="G30" s="77"/>
    </row>
    <row r="31" spans="1:7" ht="15.75" x14ac:dyDescent="0.25">
      <c r="A31" s="222" t="s">
        <v>251</v>
      </c>
      <c r="B31" s="23"/>
      <c r="C31" s="21"/>
      <c r="D31" s="22"/>
      <c r="E31" s="77"/>
      <c r="F31" s="77"/>
      <c r="G31" s="77"/>
    </row>
    <row r="32" spans="1:7" s="103" customFormat="1" ht="31.5" x14ac:dyDescent="0.25">
      <c r="A32" s="223" t="s">
        <v>252</v>
      </c>
      <c r="B32" s="208">
        <f>SUM(B33:B41)</f>
        <v>0</v>
      </c>
      <c r="C32" s="21"/>
      <c r="D32" s="22"/>
      <c r="E32" s="102">
        <f>(B86-B24-B26)/1.2/1.03</f>
        <v>364399.09577582526</v>
      </c>
      <c r="F32" s="102" t="e">
        <f>(#REF!-#REF!-#REF!)/1.2/1.03</f>
        <v>#REF!</v>
      </c>
      <c r="G32" s="102" t="e">
        <f>(#REF!-#REF!-#REF!)/1.2/1.03</f>
        <v>#REF!</v>
      </c>
    </row>
    <row r="33" spans="1:7" ht="15.75" x14ac:dyDescent="0.25">
      <c r="A33" s="224" t="s">
        <v>253</v>
      </c>
      <c r="B33" s="23">
        <v>0</v>
      </c>
      <c r="C33" s="21"/>
      <c r="D33" s="22">
        <v>45928.05</v>
      </c>
      <c r="E33" s="77"/>
      <c r="F33" s="77"/>
      <c r="G33" s="77"/>
    </row>
    <row r="34" spans="1:7" ht="15.75" x14ac:dyDescent="0.25">
      <c r="A34" s="224" t="s">
        <v>322</v>
      </c>
      <c r="B34" s="23">
        <v>0</v>
      </c>
      <c r="C34" s="21"/>
      <c r="D34" s="22">
        <v>0</v>
      </c>
      <c r="E34" s="77"/>
      <c r="F34" s="77"/>
      <c r="G34" s="77"/>
    </row>
    <row r="35" spans="1:7" ht="15.75" x14ac:dyDescent="0.25">
      <c r="A35" s="224" t="s">
        <v>256</v>
      </c>
      <c r="B35" s="23">
        <v>0</v>
      </c>
      <c r="C35" s="21"/>
      <c r="D35" s="22">
        <v>0</v>
      </c>
      <c r="E35" s="77"/>
      <c r="F35" s="77"/>
      <c r="G35" s="77"/>
    </row>
    <row r="36" spans="1:7" ht="15.75" x14ac:dyDescent="0.25">
      <c r="A36" s="224" t="s">
        <v>255</v>
      </c>
      <c r="B36" s="23"/>
      <c r="C36" s="21" t="s">
        <v>234</v>
      </c>
      <c r="D36" s="22">
        <v>0</v>
      </c>
      <c r="E36" s="77"/>
      <c r="F36" s="77"/>
      <c r="G36" s="77"/>
    </row>
    <row r="37" spans="1:7" ht="15.75" x14ac:dyDescent="0.25">
      <c r="A37" s="224" t="s">
        <v>257</v>
      </c>
      <c r="B37" s="23">
        <v>0</v>
      </c>
      <c r="C37" s="21"/>
      <c r="D37" s="22">
        <v>0</v>
      </c>
      <c r="E37" s="77"/>
      <c r="F37" s="77"/>
      <c r="G37" s="77"/>
    </row>
    <row r="38" spans="1:7" ht="15.75" x14ac:dyDescent="0.25">
      <c r="A38" s="224" t="s">
        <v>258</v>
      </c>
      <c r="B38" s="23">
        <v>0</v>
      </c>
      <c r="C38" s="21"/>
      <c r="D38" s="22">
        <v>0</v>
      </c>
      <c r="E38" s="77"/>
      <c r="F38" s="77"/>
      <c r="G38" s="77"/>
    </row>
    <row r="39" spans="1:7" ht="15.75" x14ac:dyDescent="0.25">
      <c r="A39" s="35" t="s">
        <v>259</v>
      </c>
      <c r="B39" s="23">
        <v>0</v>
      </c>
      <c r="C39" s="21"/>
      <c r="D39" s="22">
        <v>0</v>
      </c>
      <c r="E39" s="77"/>
      <c r="F39" s="77"/>
      <c r="G39" s="77"/>
    </row>
    <row r="40" spans="1:7" ht="15.75" x14ac:dyDescent="0.25">
      <c r="A40" s="35" t="s">
        <v>459</v>
      </c>
      <c r="B40" s="23">
        <v>0</v>
      </c>
      <c r="C40" s="21"/>
      <c r="D40" s="22"/>
      <c r="E40" s="77"/>
      <c r="F40" s="77"/>
      <c r="G40" s="77"/>
    </row>
    <row r="41" spans="1:7" ht="15.75" x14ac:dyDescent="0.25">
      <c r="A41" s="35" t="s">
        <v>460</v>
      </c>
      <c r="B41" s="23">
        <v>0</v>
      </c>
      <c r="C41" s="21"/>
      <c r="D41" s="22"/>
      <c r="E41" s="77"/>
      <c r="F41" s="77"/>
      <c r="G41" s="77"/>
    </row>
    <row r="42" spans="1:7" s="103" customFormat="1" ht="47.25" x14ac:dyDescent="0.25">
      <c r="A42" s="223" t="s">
        <v>261</v>
      </c>
      <c r="B42" s="208">
        <f>SUM(B43:B45)</f>
        <v>31226.355630879098</v>
      </c>
      <c r="C42" s="21"/>
      <c r="D42" s="22"/>
      <c r="E42" s="102"/>
      <c r="F42" s="102"/>
      <c r="G42" s="102"/>
    </row>
    <row r="43" spans="1:7" ht="15.75" x14ac:dyDescent="0.25">
      <c r="A43" s="35" t="s">
        <v>262</v>
      </c>
      <c r="B43" s="23"/>
      <c r="C43" s="39"/>
      <c r="D43" s="40"/>
      <c r="E43" s="77"/>
      <c r="F43" s="77"/>
      <c r="G43" s="77"/>
    </row>
    <row r="44" spans="1:7" ht="15.75" x14ac:dyDescent="0.25">
      <c r="A44" s="35" t="s">
        <v>263</v>
      </c>
      <c r="B44" s="23"/>
      <c r="C44" s="39"/>
      <c r="D44" s="40"/>
      <c r="E44" s="77"/>
      <c r="F44" s="77"/>
      <c r="G44" s="77"/>
    </row>
    <row r="45" spans="1:7" ht="15.75" x14ac:dyDescent="0.25">
      <c r="A45" s="226" t="s">
        <v>264</v>
      </c>
      <c r="B45" s="23">
        <f>'[6]32тарифы'!D163*B15+1205.08*1.12</f>
        <v>31226.355630879098</v>
      </c>
      <c r="C45" s="39"/>
      <c r="D45" s="40"/>
      <c r="E45" s="77"/>
      <c r="F45" s="77"/>
      <c r="G45" s="77"/>
    </row>
    <row r="46" spans="1:7" s="79" customFormat="1" ht="15.75" x14ac:dyDescent="0.25">
      <c r="A46" s="223" t="s">
        <v>265</v>
      </c>
      <c r="B46" s="208">
        <f>SUM(B47:B65)</f>
        <v>280319.37</v>
      </c>
      <c r="C46" s="21"/>
      <c r="D46" s="22"/>
    </row>
    <row r="47" spans="1:7" ht="15.75" x14ac:dyDescent="0.25">
      <c r="A47" s="224" t="s">
        <v>326</v>
      </c>
      <c r="B47" s="23">
        <v>3280.2</v>
      </c>
      <c r="C47" s="21"/>
      <c r="D47" s="22"/>
      <c r="E47" s="77" t="s">
        <v>267</v>
      </c>
      <c r="F47" s="77"/>
      <c r="G47" s="77"/>
    </row>
    <row r="48" spans="1:7" ht="15.75" x14ac:dyDescent="0.25">
      <c r="A48" s="224" t="s">
        <v>317</v>
      </c>
      <c r="B48" s="23">
        <v>3983.1</v>
      </c>
      <c r="C48" s="21"/>
      <c r="D48" s="22"/>
      <c r="E48" s="77" t="s">
        <v>269</v>
      </c>
      <c r="F48" s="77"/>
      <c r="G48" s="77"/>
    </row>
    <row r="49" spans="1:5" ht="15.75" x14ac:dyDescent="0.25">
      <c r="A49" s="143" t="s">
        <v>270</v>
      </c>
      <c r="B49" s="23">
        <v>151594.20000000001</v>
      </c>
      <c r="C49" s="21">
        <v>3</v>
      </c>
      <c r="D49" s="22">
        <f>4210.95*3</f>
        <v>12632.849999999999</v>
      </c>
      <c r="E49" s="77">
        <f>D49*12</f>
        <v>151594.19999999998</v>
      </c>
    </row>
    <row r="50" spans="1:5" ht="15.75" x14ac:dyDescent="0.25">
      <c r="A50" s="143" t="s">
        <v>461</v>
      </c>
      <c r="B50" s="20">
        <v>14700</v>
      </c>
      <c r="C50" s="218">
        <v>3</v>
      </c>
      <c r="D50" s="22">
        <v>4190</v>
      </c>
      <c r="E50" s="77"/>
    </row>
    <row r="51" spans="1:5" ht="15.75" x14ac:dyDescent="0.25">
      <c r="A51" s="143" t="s">
        <v>282</v>
      </c>
      <c r="B51" s="23">
        <v>327.38</v>
      </c>
      <c r="C51" s="21">
        <v>3</v>
      </c>
      <c r="D51" s="22">
        <v>13973</v>
      </c>
      <c r="E51" s="77"/>
    </row>
    <row r="52" spans="1:5" ht="15.75" x14ac:dyDescent="0.25">
      <c r="A52" s="143" t="s">
        <v>394</v>
      </c>
      <c r="B52" s="23">
        <v>21600</v>
      </c>
      <c r="C52" s="21">
        <v>3</v>
      </c>
      <c r="D52" s="22">
        <v>105.14</v>
      </c>
      <c r="E52" s="77"/>
    </row>
    <row r="53" spans="1:5" ht="15.75" x14ac:dyDescent="0.25">
      <c r="A53" s="143" t="s">
        <v>274</v>
      </c>
      <c r="B53" s="20">
        <v>46200</v>
      </c>
      <c r="C53" s="218">
        <v>0</v>
      </c>
      <c r="D53" s="22">
        <v>522.99</v>
      </c>
      <c r="E53" s="77"/>
    </row>
    <row r="54" spans="1:5" ht="15.75" x14ac:dyDescent="0.25">
      <c r="A54" s="188" t="s">
        <v>359</v>
      </c>
      <c r="B54" s="20">
        <v>8133.61</v>
      </c>
      <c r="C54" s="218">
        <v>1</v>
      </c>
      <c r="D54" s="44">
        <v>695.13</v>
      </c>
      <c r="E54" s="77"/>
    </row>
    <row r="55" spans="1:5" s="3" customFormat="1" ht="15.75" x14ac:dyDescent="0.25">
      <c r="A55" s="143" t="s">
        <v>541</v>
      </c>
      <c r="B55" s="23">
        <v>5000</v>
      </c>
      <c r="C55" s="21"/>
      <c r="D55" s="44"/>
    </row>
    <row r="56" spans="1:5" ht="15.75" x14ac:dyDescent="0.25">
      <c r="A56" s="143" t="s">
        <v>403</v>
      </c>
      <c r="B56" s="23"/>
      <c r="C56" s="21">
        <v>0</v>
      </c>
      <c r="D56" s="22">
        <f>10695.76/1.18</f>
        <v>9064.203389830509</v>
      </c>
      <c r="E56" s="77"/>
    </row>
    <row r="57" spans="1:5" ht="15.75" x14ac:dyDescent="0.25">
      <c r="A57" s="143" t="s">
        <v>346</v>
      </c>
      <c r="B57" s="23"/>
      <c r="C57" s="21">
        <v>0</v>
      </c>
      <c r="D57" s="22">
        <f>2300/1.18</f>
        <v>1949.1525423728815</v>
      </c>
      <c r="E57" s="77"/>
    </row>
    <row r="58" spans="1:5" ht="15.75" x14ac:dyDescent="0.25">
      <c r="A58" s="228" t="s">
        <v>380</v>
      </c>
      <c r="B58" s="20"/>
      <c r="C58" s="218">
        <v>0</v>
      </c>
      <c r="D58" s="22">
        <v>0</v>
      </c>
      <c r="E58" s="77"/>
    </row>
    <row r="59" spans="1:5" ht="15.75" x14ac:dyDescent="0.25">
      <c r="A59" s="228" t="s">
        <v>279</v>
      </c>
      <c r="B59" s="20">
        <f>B13*'[6]32тарифы'!D184</f>
        <v>0</v>
      </c>
      <c r="C59" s="218"/>
      <c r="D59" s="22"/>
      <c r="E59" s="77"/>
    </row>
    <row r="60" spans="1:5" ht="15.75" x14ac:dyDescent="0.25">
      <c r="A60" s="35" t="s">
        <v>280</v>
      </c>
      <c r="B60" s="20">
        <v>0</v>
      </c>
      <c r="C60" s="218"/>
      <c r="D60" s="22"/>
      <c r="E60" s="77"/>
    </row>
    <row r="61" spans="1:5" ht="15.75" x14ac:dyDescent="0.25">
      <c r="A61" s="35" t="s">
        <v>281</v>
      </c>
      <c r="B61" s="20">
        <v>0</v>
      </c>
      <c r="C61" s="218"/>
      <c r="D61" s="22">
        <v>0</v>
      </c>
      <c r="E61" s="272">
        <f>B80+B46+1422.49-B59</f>
        <v>307149.26999999996</v>
      </c>
    </row>
    <row r="62" spans="1:5" ht="15.75" x14ac:dyDescent="0.25">
      <c r="A62" s="224" t="s">
        <v>340</v>
      </c>
      <c r="B62" s="20">
        <v>0</v>
      </c>
      <c r="C62" s="218"/>
      <c r="D62" s="22">
        <v>0</v>
      </c>
      <c r="E62" s="77"/>
    </row>
    <row r="63" spans="1:5" ht="15.75" x14ac:dyDescent="0.25">
      <c r="A63" s="224" t="s">
        <v>327</v>
      </c>
      <c r="B63" s="229">
        <v>21300.880000000001</v>
      </c>
      <c r="C63" s="46">
        <v>1</v>
      </c>
      <c r="D63" s="22">
        <v>0</v>
      </c>
      <c r="E63" s="77"/>
    </row>
    <row r="64" spans="1:5" ht="15.75" x14ac:dyDescent="0.25">
      <c r="A64" s="35" t="s">
        <v>284</v>
      </c>
      <c r="B64" s="112">
        <v>0</v>
      </c>
      <c r="C64" s="246">
        <v>108</v>
      </c>
      <c r="D64" s="22">
        <v>2</v>
      </c>
      <c r="E64" s="77">
        <v>0</v>
      </c>
    </row>
    <row r="65" spans="1:4" ht="15.75" x14ac:dyDescent="0.25">
      <c r="A65" s="35" t="s">
        <v>542</v>
      </c>
      <c r="B65" s="112">
        <v>4200</v>
      </c>
      <c r="C65" s="247"/>
      <c r="D65" s="40">
        <v>0</v>
      </c>
    </row>
    <row r="66" spans="1:4" s="79" customFormat="1" ht="15.75" x14ac:dyDescent="0.25">
      <c r="A66" s="230" t="s">
        <v>286</v>
      </c>
      <c r="B66" s="208">
        <f>SUM(B67:B74)</f>
        <v>159923.56175793978</v>
      </c>
      <c r="C66" s="39"/>
      <c r="D66" s="40"/>
    </row>
    <row r="67" spans="1:4" ht="15.75" x14ac:dyDescent="0.25">
      <c r="A67" s="35" t="s">
        <v>287</v>
      </c>
      <c r="B67" s="20">
        <v>0</v>
      </c>
      <c r="C67" s="231"/>
      <c r="D67" s="40"/>
    </row>
    <row r="68" spans="1:4" ht="15.75" x14ac:dyDescent="0.25">
      <c r="A68" s="224" t="s">
        <v>288</v>
      </c>
      <c r="B68" s="232"/>
      <c r="C68" s="39"/>
      <c r="D68" s="40"/>
    </row>
    <row r="69" spans="1:4" ht="15.75" x14ac:dyDescent="0.25">
      <c r="A69" s="35" t="s">
        <v>289</v>
      </c>
      <c r="B69" s="20">
        <v>0</v>
      </c>
      <c r="C69" s="231"/>
      <c r="D69" s="40"/>
    </row>
    <row r="70" spans="1:4" ht="15.75" x14ac:dyDescent="0.25">
      <c r="A70" s="226" t="s">
        <v>290</v>
      </c>
      <c r="B70" s="23">
        <f>'[6]32тарифы'!D164*B13*1.12</f>
        <v>6953.3534231537787</v>
      </c>
      <c r="C70" s="39"/>
      <c r="D70" s="40"/>
    </row>
    <row r="71" spans="1:4" ht="15.75" x14ac:dyDescent="0.25">
      <c r="A71" s="226" t="s">
        <v>291</v>
      </c>
      <c r="B71" s="23">
        <f>'[6]32тарифы'!D165*B15*1.12</f>
        <v>36012.576666884968</v>
      </c>
      <c r="C71" s="39"/>
      <c r="D71" s="40"/>
    </row>
    <row r="72" spans="1:4" s="3" customFormat="1" ht="15.75" x14ac:dyDescent="0.25">
      <c r="A72" s="226" t="s">
        <v>292</v>
      </c>
      <c r="B72" s="23">
        <f>57515*1.04*1.12</f>
        <v>66993.472000000009</v>
      </c>
      <c r="C72" s="39"/>
      <c r="D72" s="40"/>
    </row>
    <row r="73" spans="1:4" s="3" customFormat="1" ht="15.75" x14ac:dyDescent="0.25">
      <c r="A73" s="226" t="s">
        <v>293</v>
      </c>
      <c r="B73" s="23">
        <f>9760*1.04*1.12</f>
        <v>11368.448</v>
      </c>
      <c r="C73" s="39"/>
      <c r="D73" s="40"/>
    </row>
    <row r="74" spans="1:4" ht="15.75" x14ac:dyDescent="0.25">
      <c r="A74" s="226" t="s">
        <v>294</v>
      </c>
      <c r="B74" s="23">
        <f>('[6]32тарифы'!D167*B15)+('[6]32тарифы'!D187*B15)*1.12</f>
        <v>38595.711667901021</v>
      </c>
      <c r="C74" s="39"/>
      <c r="D74" s="40"/>
    </row>
    <row r="75" spans="1:4" ht="41.25" x14ac:dyDescent="0.25">
      <c r="A75" s="233" t="s">
        <v>462</v>
      </c>
      <c r="B75" s="208">
        <f>SUM(B76:B76)</f>
        <v>191520.00000000003</v>
      </c>
      <c r="C75" s="39"/>
      <c r="D75" s="40"/>
    </row>
    <row r="76" spans="1:4" ht="15.75" x14ac:dyDescent="0.25">
      <c r="A76" s="226" t="s">
        <v>296</v>
      </c>
      <c r="B76" s="23">
        <f>171000*1.12</f>
        <v>191520.00000000003</v>
      </c>
      <c r="C76" s="39"/>
      <c r="D76" s="40"/>
    </row>
    <row r="77" spans="1:4" s="79" customFormat="1" ht="15.75" x14ac:dyDescent="0.25">
      <c r="A77" s="230" t="s">
        <v>297</v>
      </c>
      <c r="B77" s="208">
        <f>SUM(B78:B81)</f>
        <v>173691.45887244324</v>
      </c>
      <c r="C77" s="39"/>
      <c r="D77" s="40"/>
    </row>
    <row r="78" spans="1:4" ht="15.75" x14ac:dyDescent="0.25">
      <c r="A78" s="234" t="s">
        <v>298</v>
      </c>
      <c r="B78" s="23">
        <f>'[6]32тарифы'!D170*B15*1.12</f>
        <v>135905.32534216039</v>
      </c>
      <c r="C78" s="39"/>
      <c r="D78" s="40"/>
    </row>
    <row r="79" spans="1:4" s="3" customFormat="1" ht="15.75" x14ac:dyDescent="0.25">
      <c r="A79" s="234" t="s">
        <v>299</v>
      </c>
      <c r="B79" s="232">
        <f>(B26/1.2)*30%</f>
        <v>0</v>
      </c>
      <c r="C79" s="39"/>
      <c r="D79" s="40"/>
    </row>
    <row r="80" spans="1:4" ht="15.75" x14ac:dyDescent="0.25">
      <c r="A80" s="273" t="s">
        <v>463</v>
      </c>
      <c r="B80" s="23">
        <f>14423.27+10984.14</f>
        <v>25407.41</v>
      </c>
      <c r="C80" s="39"/>
      <c r="D80" s="40"/>
    </row>
    <row r="81" spans="1:4" ht="15.75" x14ac:dyDescent="0.25">
      <c r="A81" s="273" t="s">
        <v>464</v>
      </c>
      <c r="B81" s="23">
        <f>'[6]32тарифы'!D173*B13*1.12</f>
        <v>12378.723530282838</v>
      </c>
      <c r="C81" s="39"/>
      <c r="D81" s="40"/>
    </row>
    <row r="82" spans="1:4" ht="15.75" x14ac:dyDescent="0.25">
      <c r="A82" s="236" t="s">
        <v>302</v>
      </c>
      <c r="B82" s="28">
        <f>B32+B42+B46+B66+B75+B77</f>
        <v>836680.7462612621</v>
      </c>
      <c r="C82" s="39"/>
      <c r="D82" s="40"/>
    </row>
    <row r="83" spans="1:4" ht="15.75" x14ac:dyDescent="0.25">
      <c r="A83" s="237" t="s">
        <v>303</v>
      </c>
      <c r="B83" s="23">
        <f>B82*0.03</f>
        <v>25100.422387837862</v>
      </c>
      <c r="C83" s="39"/>
      <c r="D83" s="40"/>
    </row>
    <row r="84" spans="1:4" s="103" customFormat="1" ht="15.75" x14ac:dyDescent="0.25">
      <c r="A84" s="238" t="s">
        <v>304</v>
      </c>
      <c r="B84" s="208">
        <f>B82+B83</f>
        <v>861781.1686491</v>
      </c>
      <c r="C84" s="39"/>
      <c r="D84" s="40"/>
    </row>
    <row r="85" spans="1:4" s="3" customFormat="1" ht="16.5" thickBot="1" x14ac:dyDescent="0.3">
      <c r="A85" s="239" t="s">
        <v>305</v>
      </c>
      <c r="B85" s="240">
        <f>B84*0.2</f>
        <v>172356.23372982</v>
      </c>
      <c r="C85" s="39"/>
      <c r="D85" s="40"/>
    </row>
    <row r="86" spans="1:4" s="79" customFormat="1" ht="16.5" thickBot="1" x14ac:dyDescent="0.3">
      <c r="A86" s="58" t="s">
        <v>306</v>
      </c>
      <c r="B86" s="66">
        <f>B84+B85</f>
        <v>1034137.40237892</v>
      </c>
      <c r="C86" s="60"/>
      <c r="D86" s="61"/>
    </row>
    <row r="87" spans="1:4" s="8" customFormat="1" ht="16.5" thickBot="1" x14ac:dyDescent="0.3">
      <c r="A87" s="62" t="s">
        <v>307</v>
      </c>
      <c r="B87" s="296">
        <f>B10+B24+B26+B28+B29-B86</f>
        <v>-1189943.5023789201</v>
      </c>
      <c r="C87" s="63"/>
      <c r="D87" s="63"/>
    </row>
    <row r="88" spans="1:4" s="8" customFormat="1" ht="16.5" thickBot="1" x14ac:dyDescent="0.3">
      <c r="A88" s="64" t="s">
        <v>308</v>
      </c>
      <c r="B88" s="66">
        <f>B10+B25+B27+B28+B29-B86</f>
        <v>-1191911.91237892</v>
      </c>
      <c r="C88" s="63"/>
      <c r="D88" s="63"/>
    </row>
    <row r="89" spans="1:4" s="8" customFormat="1" ht="16.5" thickBot="1" x14ac:dyDescent="0.3">
      <c r="A89" s="241" t="s">
        <v>309</v>
      </c>
      <c r="B89" s="66">
        <f>B11+B24-B25</f>
        <v>1968.4100000000326</v>
      </c>
      <c r="C89" s="63"/>
      <c r="D89" s="63"/>
    </row>
    <row r="90" spans="1:4" ht="15.75" x14ac:dyDescent="0.25">
      <c r="A90" s="77"/>
      <c r="B90" s="227"/>
      <c r="C90" s="77"/>
      <c r="D90" s="77"/>
    </row>
    <row r="91" spans="1:4" ht="15.75" x14ac:dyDescent="0.25">
      <c r="A91" s="69"/>
      <c r="B91" s="3"/>
      <c r="C91" s="77"/>
      <c r="D91" s="77"/>
    </row>
    <row r="92" spans="1:4" ht="15.75" x14ac:dyDescent="0.25">
      <c r="A92" s="333" t="s">
        <v>407</v>
      </c>
      <c r="B92" s="333"/>
      <c r="C92" s="77"/>
      <c r="D92" s="77"/>
    </row>
    <row r="93" spans="1:4" ht="15.75" x14ac:dyDescent="0.25">
      <c r="A93" s="69"/>
      <c r="B93" s="3"/>
      <c r="C93" s="77"/>
      <c r="D93" s="77"/>
    </row>
    <row r="94" spans="1:4" ht="15.75" hidden="1" x14ac:dyDescent="0.25">
      <c r="A94" s="334" t="s">
        <v>408</v>
      </c>
      <c r="B94" s="334"/>
      <c r="C94" s="135"/>
      <c r="D94" s="77"/>
    </row>
    <row r="95" spans="1:4" ht="15.75" x14ac:dyDescent="0.25">
      <c r="A95" s="77"/>
      <c r="B95" s="3"/>
      <c r="C95" s="77"/>
      <c r="D95" s="77"/>
    </row>
  </sheetData>
  <autoFilter ref="A31:G89" xr:uid="{00000000-0009-0000-0000-00000D000000}"/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5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filterMode="1">
    <pageSetUpPr fitToPage="1"/>
  </sheetPr>
  <dimension ref="A1:G95"/>
  <sheetViews>
    <sheetView view="pageBreakPreview" topLeftCell="A45" zoomScale="80" zoomScaleNormal="100" zoomScaleSheetLayoutView="80" workbookViewId="0">
      <selection activeCell="B81" sqref="B81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25" t="s">
        <v>224</v>
      </c>
      <c r="B1" s="325"/>
      <c r="C1" s="77"/>
      <c r="D1" s="77"/>
    </row>
    <row r="2" spans="1:4" ht="16.5" x14ac:dyDescent="0.25">
      <c r="A2" s="326" t="s">
        <v>225</v>
      </c>
      <c r="B2" s="326"/>
      <c r="C2" s="77"/>
      <c r="D2" s="77"/>
    </row>
    <row r="3" spans="1:4" ht="16.5" x14ac:dyDescent="0.25">
      <c r="A3" s="326" t="s">
        <v>226</v>
      </c>
      <c r="B3" s="326"/>
      <c r="C3" s="77"/>
      <c r="D3" s="77"/>
    </row>
    <row r="4" spans="1:4" ht="15.75" x14ac:dyDescent="0.25">
      <c r="A4" s="78" t="s">
        <v>516</v>
      </c>
      <c r="B4" s="78"/>
      <c r="C4" s="77"/>
      <c r="D4" s="77"/>
    </row>
    <row r="5" spans="1:4" ht="15.75" x14ac:dyDescent="0.25">
      <c r="A5" s="78" t="s">
        <v>57</v>
      </c>
      <c r="B5" s="78"/>
      <c r="C5" s="77"/>
      <c r="D5" s="77"/>
    </row>
    <row r="6" spans="1:4" ht="5.25" customHeight="1" x14ac:dyDescent="0.25">
      <c r="A6" s="78"/>
      <c r="B6" s="8"/>
      <c r="C6" s="79"/>
      <c r="D6" s="77"/>
    </row>
    <row r="7" spans="1:4" ht="16.5" thickBot="1" x14ac:dyDescent="0.3">
      <c r="A7" s="80"/>
      <c r="B7" s="8"/>
      <c r="C7" s="79"/>
      <c r="D7" s="77"/>
    </row>
    <row r="8" spans="1:4" ht="15.75" customHeight="1" x14ac:dyDescent="0.2">
      <c r="A8" s="327" t="s">
        <v>227</v>
      </c>
      <c r="B8" s="329" t="s">
        <v>228</v>
      </c>
      <c r="C8" s="331" t="s">
        <v>229</v>
      </c>
      <c r="D8" s="321" t="s">
        <v>230</v>
      </c>
    </row>
    <row r="9" spans="1:4" ht="28.5" customHeight="1" thickBot="1" x14ac:dyDescent="0.25">
      <c r="A9" s="328"/>
      <c r="B9" s="330"/>
      <c r="C9" s="332"/>
      <c r="D9" s="322"/>
    </row>
    <row r="10" spans="1:4" ht="16.5" thickBot="1" x14ac:dyDescent="0.25">
      <c r="A10" s="81" t="s">
        <v>231</v>
      </c>
      <c r="B10" s="302">
        <f>VLOOKUP(A5,мкд!S:T,2,FALSE)</f>
        <v>-697119.92</v>
      </c>
      <c r="C10" s="83"/>
      <c r="D10" s="84"/>
    </row>
    <row r="11" spans="1:4" ht="16.5" hidden="1" thickBot="1" x14ac:dyDescent="0.25">
      <c r="A11" s="85" t="s">
        <v>232</v>
      </c>
      <c r="B11" s="210"/>
      <c r="C11" s="84"/>
      <c r="D11" s="86"/>
    </row>
    <row r="12" spans="1:4" ht="16.5" thickBot="1" x14ac:dyDescent="0.3">
      <c r="A12" s="87" t="s">
        <v>233</v>
      </c>
      <c r="B12" s="217"/>
      <c r="C12" s="89" t="s">
        <v>234</v>
      </c>
      <c r="D12" s="90" t="s">
        <v>234</v>
      </c>
    </row>
    <row r="13" spans="1:4" ht="16.5" hidden="1" thickBot="1" x14ac:dyDescent="0.3">
      <c r="A13" s="91" t="s">
        <v>235</v>
      </c>
      <c r="B13" s="23">
        <v>2530.6</v>
      </c>
      <c r="C13" s="90" t="s">
        <v>234</v>
      </c>
      <c r="D13" s="92" t="s">
        <v>234</v>
      </c>
    </row>
    <row r="14" spans="1:4" ht="16.5" hidden="1" thickBot="1" x14ac:dyDescent="0.3">
      <c r="A14" s="91" t="s">
        <v>236</v>
      </c>
      <c r="B14" s="23">
        <v>243.6</v>
      </c>
      <c r="C14" s="93"/>
      <c r="D14" s="92"/>
    </row>
    <row r="15" spans="1:4" ht="16.5" hidden="1" thickBot="1" x14ac:dyDescent="0.3">
      <c r="A15" s="91" t="s">
        <v>237</v>
      </c>
      <c r="B15" s="23">
        <f>B13+B14</f>
        <v>2774.2</v>
      </c>
      <c r="C15" s="94"/>
      <c r="D15" s="95"/>
    </row>
    <row r="16" spans="1:4" ht="16.5" hidden="1" thickBot="1" x14ac:dyDescent="0.3">
      <c r="A16" s="91" t="s">
        <v>238</v>
      </c>
      <c r="B16" s="23">
        <f>1221.1+1553.1/3</f>
        <v>1738.7999999999997</v>
      </c>
      <c r="C16" s="96" t="s">
        <v>234</v>
      </c>
      <c r="D16" s="95" t="s">
        <v>234</v>
      </c>
    </row>
    <row r="17" spans="1:7" ht="16.5" hidden="1" thickBot="1" x14ac:dyDescent="0.3">
      <c r="A17" s="91" t="s">
        <v>239</v>
      </c>
      <c r="B17" s="23">
        <v>0</v>
      </c>
      <c r="C17" s="90" t="s">
        <v>234</v>
      </c>
      <c r="D17" s="92" t="s">
        <v>234</v>
      </c>
      <c r="E17" s="77"/>
      <c r="F17" s="77"/>
      <c r="G17" s="77"/>
    </row>
    <row r="18" spans="1:7" ht="16.5" hidden="1" thickBot="1" x14ac:dyDescent="0.3">
      <c r="A18" s="91" t="s">
        <v>240</v>
      </c>
      <c r="B18" s="23">
        <v>682</v>
      </c>
      <c r="C18" s="95" t="s">
        <v>234</v>
      </c>
      <c r="D18" s="92" t="s">
        <v>234</v>
      </c>
      <c r="E18" s="77"/>
      <c r="F18" s="77"/>
      <c r="G18" s="77"/>
    </row>
    <row r="19" spans="1:7" ht="16.5" hidden="1" thickBot="1" x14ac:dyDescent="0.3">
      <c r="A19" s="91" t="s">
        <v>241</v>
      </c>
      <c r="B19" s="23">
        <v>1092</v>
      </c>
      <c r="C19" s="95" t="s">
        <v>234</v>
      </c>
      <c r="D19" s="92" t="s">
        <v>234</v>
      </c>
      <c r="E19" s="77"/>
      <c r="F19" s="77"/>
      <c r="G19" s="77"/>
    </row>
    <row r="20" spans="1:7" ht="16.5" hidden="1" thickBot="1" x14ac:dyDescent="0.3">
      <c r="A20" s="91" t="s">
        <v>242</v>
      </c>
      <c r="B20" s="23">
        <v>1575</v>
      </c>
      <c r="C20" s="95"/>
      <c r="D20" s="92"/>
      <c r="E20" s="77"/>
      <c r="F20" s="77"/>
      <c r="G20" s="77"/>
    </row>
    <row r="21" spans="1:7" ht="16.5" hidden="1" thickBot="1" x14ac:dyDescent="0.3">
      <c r="A21" s="91" t="s">
        <v>243</v>
      </c>
      <c r="B21" s="23">
        <v>0</v>
      </c>
      <c r="C21" s="95" t="s">
        <v>234</v>
      </c>
      <c r="D21" s="92" t="s">
        <v>234</v>
      </c>
      <c r="E21" s="77"/>
      <c r="F21" s="77"/>
      <c r="G21" s="77"/>
    </row>
    <row r="22" spans="1:7" ht="16.5" hidden="1" thickBot="1" x14ac:dyDescent="0.3">
      <c r="A22" s="91" t="s">
        <v>244</v>
      </c>
      <c r="B22" s="23">
        <v>107</v>
      </c>
      <c r="C22" s="93"/>
      <c r="D22" s="92"/>
      <c r="E22" s="77"/>
      <c r="F22" s="77"/>
      <c r="G22" s="77"/>
    </row>
    <row r="23" spans="1:7" ht="15.75" x14ac:dyDescent="0.25">
      <c r="A23" s="91"/>
      <c r="B23" s="23"/>
      <c r="C23" s="94"/>
      <c r="D23" s="95"/>
      <c r="E23" s="77"/>
      <c r="F23" s="77"/>
      <c r="G23" s="77"/>
    </row>
    <row r="24" spans="1:7" ht="15.75" x14ac:dyDescent="0.25">
      <c r="A24" s="97" t="s">
        <v>319</v>
      </c>
      <c r="B24" s="28">
        <f>VLOOKUP(A5,[2]Лист1!M$1:N$65536,2,FALSE)</f>
        <v>379457.68000000005</v>
      </c>
      <c r="C24" s="92"/>
      <c r="D24" s="95"/>
      <c r="E24" s="77">
        <v>12.5</v>
      </c>
      <c r="F24" s="77"/>
      <c r="G24" s="77"/>
    </row>
    <row r="25" spans="1:7" ht="16.5" thickBot="1" x14ac:dyDescent="0.3">
      <c r="A25" s="97" t="s">
        <v>320</v>
      </c>
      <c r="B25" s="28">
        <f>VLOOKUP(A5,[2]Лист1!M$1:O$65536,3,FALSE)</f>
        <v>383572.86000000004</v>
      </c>
      <c r="C25" s="96"/>
      <c r="D25" s="95"/>
      <c r="E25" s="77"/>
      <c r="F25" s="77"/>
      <c r="G25" s="77"/>
    </row>
    <row r="26" spans="1:7" ht="15.75" x14ac:dyDescent="0.25">
      <c r="A26" s="97" t="s">
        <v>353</v>
      </c>
      <c r="B26" s="28">
        <v>36540</v>
      </c>
      <c r="C26" s="90"/>
      <c r="D26" s="92"/>
      <c r="E26" s="77"/>
      <c r="F26" s="77"/>
      <c r="G26" s="77"/>
    </row>
    <row r="27" spans="1:7" ht="16.5" thickBot="1" x14ac:dyDescent="0.3">
      <c r="A27" s="97" t="s">
        <v>354</v>
      </c>
      <c r="B27" s="28">
        <v>24664.5</v>
      </c>
      <c r="C27" s="93"/>
      <c r="D27" s="92"/>
      <c r="E27" s="77"/>
      <c r="F27" s="77"/>
      <c r="G27" s="77"/>
    </row>
    <row r="28" spans="1:7" ht="16.5" thickBot="1" x14ac:dyDescent="0.3">
      <c r="A28" s="97" t="s">
        <v>249</v>
      </c>
      <c r="B28" s="28">
        <v>5781.36</v>
      </c>
      <c r="C28" s="89"/>
      <c r="D28" s="95"/>
      <c r="E28" s="77"/>
      <c r="F28" s="77"/>
      <c r="G28" s="77"/>
    </row>
    <row r="29" spans="1:7" ht="16.5" hidden="1" thickBot="1" x14ac:dyDescent="0.3">
      <c r="A29" s="97" t="s">
        <v>250</v>
      </c>
      <c r="B29" s="28"/>
      <c r="C29" s="98"/>
      <c r="D29" s="92"/>
      <c r="E29" s="77"/>
      <c r="F29" s="77"/>
      <c r="G29" s="77"/>
    </row>
    <row r="30" spans="1:7" ht="15.75" x14ac:dyDescent="0.25">
      <c r="A30" s="99"/>
      <c r="B30" s="23"/>
      <c r="C30" s="94"/>
      <c r="D30" s="95"/>
      <c r="E30" s="77"/>
      <c r="F30" s="77"/>
      <c r="G30" s="77"/>
    </row>
    <row r="31" spans="1:7" ht="15.75" x14ac:dyDescent="0.25">
      <c r="A31" s="100" t="s">
        <v>251</v>
      </c>
      <c r="B31" s="23"/>
      <c r="C31" s="92"/>
      <c r="D31" s="95"/>
      <c r="E31" s="77"/>
      <c r="F31" s="77"/>
      <c r="G31" s="77"/>
    </row>
    <row r="32" spans="1:7" s="103" customFormat="1" ht="31.5" x14ac:dyDescent="0.25">
      <c r="A32" s="101" t="s">
        <v>252</v>
      </c>
      <c r="B32" s="208">
        <f>SUM(B33:B41)</f>
        <v>92875.58</v>
      </c>
      <c r="C32" s="92"/>
      <c r="D32" s="95"/>
      <c r="E32" s="102">
        <f>(B86-B26-B24)/1.2/1.03</f>
        <v>174506.2103462365</v>
      </c>
      <c r="F32" s="102" t="e">
        <f>(#REF!-#REF!-#REF!)/1.2/1.03</f>
        <v>#REF!</v>
      </c>
      <c r="G32" s="102" t="e">
        <f>(#REF!-#REF!-#REF!)/1.2/1.03</f>
        <v>#REF!</v>
      </c>
    </row>
    <row r="33" spans="1:7" ht="16.5" hidden="1" thickBot="1" x14ac:dyDescent="0.3">
      <c r="A33" s="104" t="s">
        <v>253</v>
      </c>
      <c r="B33" s="23"/>
      <c r="C33" s="96"/>
      <c r="D33" s="95">
        <v>17119.189999999999</v>
      </c>
      <c r="E33" s="77"/>
      <c r="F33" s="77"/>
      <c r="G33" s="77"/>
    </row>
    <row r="34" spans="1:7" ht="15.75" hidden="1" x14ac:dyDescent="0.25">
      <c r="A34" s="104" t="s">
        <v>322</v>
      </c>
      <c r="B34" s="23">
        <v>0</v>
      </c>
      <c r="C34" s="90"/>
      <c r="D34" s="92">
        <v>0</v>
      </c>
      <c r="E34" s="77"/>
      <c r="F34" s="77"/>
      <c r="G34" s="77"/>
    </row>
    <row r="35" spans="1:7" ht="15.75" x14ac:dyDescent="0.25">
      <c r="A35" s="104" t="s">
        <v>256</v>
      </c>
      <c r="B35" s="23">
        <v>2046.83</v>
      </c>
      <c r="C35" s="95"/>
      <c r="D35" s="92">
        <v>0</v>
      </c>
      <c r="E35" s="77"/>
      <c r="F35" s="77"/>
      <c r="G35" s="77"/>
    </row>
    <row r="36" spans="1:7" ht="15.75" x14ac:dyDescent="0.25">
      <c r="A36" s="104" t="s">
        <v>255</v>
      </c>
      <c r="B36" s="23">
        <v>84281.53</v>
      </c>
      <c r="C36" s="95" t="s">
        <v>234</v>
      </c>
      <c r="D36" s="92">
        <v>0</v>
      </c>
      <c r="E36" s="77"/>
      <c r="F36" s="77"/>
      <c r="G36" s="77"/>
    </row>
    <row r="37" spans="1:7" ht="16.5" thickBot="1" x14ac:dyDescent="0.3">
      <c r="A37" s="104" t="s">
        <v>257</v>
      </c>
      <c r="B37" s="23">
        <v>6547.22</v>
      </c>
      <c r="C37" s="95"/>
      <c r="D37" s="92">
        <v>0</v>
      </c>
      <c r="E37" s="77"/>
      <c r="F37" s="77"/>
      <c r="G37" s="77"/>
    </row>
    <row r="38" spans="1:7" ht="16.5" hidden="1" thickBot="1" x14ac:dyDescent="0.3">
      <c r="A38" s="104" t="s">
        <v>258</v>
      </c>
      <c r="B38" s="23">
        <v>0</v>
      </c>
      <c r="C38" s="95"/>
      <c r="D38" s="92">
        <v>0</v>
      </c>
      <c r="E38" s="77"/>
      <c r="F38" s="77"/>
      <c r="G38" s="77"/>
    </row>
    <row r="39" spans="1:7" ht="16.5" hidden="1" thickBot="1" x14ac:dyDescent="0.3">
      <c r="A39" s="104" t="s">
        <v>324</v>
      </c>
      <c r="B39" s="23">
        <v>0</v>
      </c>
      <c r="C39" s="95"/>
      <c r="D39" s="92">
        <v>0</v>
      </c>
      <c r="E39" s="77"/>
      <c r="F39" s="77"/>
      <c r="G39" s="77"/>
    </row>
    <row r="40" spans="1:7" ht="16.5" hidden="1" thickBot="1" x14ac:dyDescent="0.3">
      <c r="A40" s="104" t="s">
        <v>312</v>
      </c>
      <c r="B40" s="23">
        <v>0</v>
      </c>
      <c r="C40" s="95"/>
      <c r="D40" s="92"/>
      <c r="E40" s="77"/>
      <c r="F40" s="77"/>
      <c r="G40" s="77"/>
    </row>
    <row r="41" spans="1:7" ht="16.5" hidden="1" thickBot="1" x14ac:dyDescent="0.3">
      <c r="A41" s="104" t="s">
        <v>343</v>
      </c>
      <c r="B41" s="23"/>
      <c r="C41" s="93"/>
      <c r="D41" s="92"/>
      <c r="E41" s="77"/>
      <c r="F41" s="77"/>
      <c r="G41" s="77"/>
    </row>
    <row r="42" spans="1:7" s="103" customFormat="1" ht="48" thickBot="1" x14ac:dyDescent="0.3">
      <c r="A42" s="101" t="s">
        <v>325</v>
      </c>
      <c r="B42" s="208">
        <f>SUM(B43:B45)</f>
        <v>20025.751484002765</v>
      </c>
      <c r="C42" s="89"/>
      <c r="D42" s="95"/>
      <c r="E42" s="102"/>
      <c r="F42" s="102"/>
      <c r="G42" s="102"/>
    </row>
    <row r="43" spans="1:7" ht="15.75" x14ac:dyDescent="0.25">
      <c r="A43" s="104" t="s">
        <v>262</v>
      </c>
      <c r="B43" s="23">
        <v>1512.06</v>
      </c>
      <c r="C43" s="98"/>
      <c r="D43" s="108"/>
      <c r="E43" s="77"/>
      <c r="F43" s="77"/>
      <c r="G43" s="77"/>
    </row>
    <row r="44" spans="1:7" ht="15.75" x14ac:dyDescent="0.25">
      <c r="A44" s="104" t="s">
        <v>263</v>
      </c>
      <c r="B44" s="23">
        <v>3618.75</v>
      </c>
      <c r="C44" s="93"/>
      <c r="D44" s="108"/>
      <c r="E44" s="77"/>
      <c r="F44" s="77"/>
      <c r="G44" s="77"/>
    </row>
    <row r="45" spans="1:7" ht="16.5" thickBot="1" x14ac:dyDescent="0.3">
      <c r="A45" s="109" t="s">
        <v>264</v>
      </c>
      <c r="B45" s="23">
        <f>'[3]34тарифы'!D163*B15+176.52</f>
        <v>14894.941484002768</v>
      </c>
      <c r="C45" s="93"/>
      <c r="D45" s="108"/>
      <c r="E45" s="77"/>
      <c r="F45" s="77"/>
      <c r="G45" s="77"/>
    </row>
    <row r="46" spans="1:7" s="79" customFormat="1" ht="16.5" thickBot="1" x14ac:dyDescent="0.3">
      <c r="A46" s="101" t="s">
        <v>265</v>
      </c>
      <c r="B46" s="208">
        <f>SUM(B47:B65)</f>
        <v>33180.93</v>
      </c>
      <c r="C46" s="89"/>
      <c r="D46" s="95"/>
    </row>
    <row r="47" spans="1:7" ht="15.75" x14ac:dyDescent="0.25">
      <c r="A47" s="104" t="s">
        <v>326</v>
      </c>
      <c r="B47" s="23">
        <v>2864.4</v>
      </c>
      <c r="C47" s="90"/>
      <c r="D47" s="92"/>
      <c r="E47" s="77" t="s">
        <v>267</v>
      </c>
      <c r="F47" s="77"/>
      <c r="G47" s="77"/>
    </row>
    <row r="48" spans="1:7" ht="15.75" x14ac:dyDescent="0.25">
      <c r="A48" s="104" t="s">
        <v>317</v>
      </c>
      <c r="B48" s="23">
        <v>3478.2</v>
      </c>
      <c r="C48" s="95"/>
      <c r="D48" s="92"/>
      <c r="E48" s="77" t="s">
        <v>269</v>
      </c>
      <c r="F48" s="77"/>
      <c r="G48" s="77"/>
    </row>
    <row r="49" spans="1:5" ht="16.5" thickBot="1" x14ac:dyDescent="0.3">
      <c r="A49" s="110" t="s">
        <v>542</v>
      </c>
      <c r="B49" s="23">
        <v>4200</v>
      </c>
      <c r="C49" s="95"/>
      <c r="D49" s="92"/>
      <c r="E49" s="77"/>
    </row>
    <row r="50" spans="1:5" ht="15.75" hidden="1" x14ac:dyDescent="0.25">
      <c r="A50" s="110" t="s">
        <v>359</v>
      </c>
      <c r="B50" s="23"/>
      <c r="C50" s="95"/>
      <c r="D50" s="92">
        <v>4190</v>
      </c>
      <c r="E50" s="77"/>
    </row>
    <row r="51" spans="1:5" ht="15.75" hidden="1" x14ac:dyDescent="0.25">
      <c r="A51" s="110" t="s">
        <v>490</v>
      </c>
      <c r="B51" s="23">
        <v>0</v>
      </c>
      <c r="C51" s="95"/>
      <c r="D51" s="92"/>
      <c r="E51" s="77"/>
    </row>
    <row r="52" spans="1:5" ht="15.75" hidden="1" x14ac:dyDescent="0.25">
      <c r="A52" s="110" t="s">
        <v>351</v>
      </c>
      <c r="B52" s="23"/>
      <c r="C52" s="95"/>
      <c r="D52" s="92">
        <v>105.14</v>
      </c>
      <c r="E52" s="77"/>
    </row>
    <row r="53" spans="1:5" ht="15.75" hidden="1" x14ac:dyDescent="0.25">
      <c r="A53" s="110" t="s">
        <v>283</v>
      </c>
      <c r="B53" s="23"/>
      <c r="C53" s="95">
        <v>0</v>
      </c>
      <c r="D53" s="92">
        <v>522.99</v>
      </c>
      <c r="E53" s="77"/>
    </row>
    <row r="54" spans="1:5" ht="15.75" hidden="1" x14ac:dyDescent="0.25">
      <c r="A54" s="110" t="s">
        <v>348</v>
      </c>
      <c r="B54" s="23"/>
      <c r="C54" s="95">
        <v>1</v>
      </c>
      <c r="D54" s="111">
        <v>700.55</v>
      </c>
      <c r="E54" s="77"/>
    </row>
    <row r="55" spans="1:5" ht="15.75" hidden="1" x14ac:dyDescent="0.25">
      <c r="A55" s="110" t="s">
        <v>276</v>
      </c>
      <c r="B55" s="23">
        <v>0</v>
      </c>
      <c r="C55" s="95"/>
      <c r="D55" s="111"/>
      <c r="E55" s="77"/>
    </row>
    <row r="56" spans="1:5" ht="15.75" hidden="1" x14ac:dyDescent="0.25">
      <c r="A56" s="110" t="s">
        <v>277</v>
      </c>
      <c r="B56" s="23">
        <v>0</v>
      </c>
      <c r="C56" s="95">
        <v>0</v>
      </c>
      <c r="D56" s="92">
        <f>10695.76/1.18</f>
        <v>9064.203389830509</v>
      </c>
      <c r="E56" s="77"/>
    </row>
    <row r="57" spans="1:5" ht="15.75" hidden="1" x14ac:dyDescent="0.25">
      <c r="A57" s="110" t="s">
        <v>314</v>
      </c>
      <c r="B57" s="23">
        <v>0</v>
      </c>
      <c r="C57" s="95">
        <v>0</v>
      </c>
      <c r="D57" s="92">
        <f>2300/1.18</f>
        <v>1949.1525423728815</v>
      </c>
      <c r="E57" s="77"/>
    </row>
    <row r="58" spans="1:5" ht="15.75" hidden="1" x14ac:dyDescent="0.25">
      <c r="A58" s="110" t="s">
        <v>380</v>
      </c>
      <c r="B58" s="23"/>
      <c r="C58" s="93">
        <v>0</v>
      </c>
      <c r="D58" s="92">
        <v>0</v>
      </c>
      <c r="E58" s="77"/>
    </row>
    <row r="59" spans="1:5" ht="18" customHeight="1" thickBot="1" x14ac:dyDescent="0.3">
      <c r="A59" s="110" t="s">
        <v>414</v>
      </c>
      <c r="B59" s="23">
        <v>2875</v>
      </c>
      <c r="C59" s="89"/>
      <c r="D59" s="95"/>
      <c r="E59" s="77"/>
    </row>
    <row r="60" spans="1:5" ht="18" customHeight="1" x14ac:dyDescent="0.25">
      <c r="A60" s="104" t="s">
        <v>544</v>
      </c>
      <c r="B60" s="23">
        <v>11245.08</v>
      </c>
      <c r="C60" s="90"/>
      <c r="D60" s="92"/>
      <c r="E60" s="77"/>
    </row>
    <row r="61" spans="1:5" ht="18.75" customHeight="1" x14ac:dyDescent="0.25">
      <c r="A61" s="104" t="s">
        <v>359</v>
      </c>
      <c r="B61" s="23">
        <v>8133.61</v>
      </c>
      <c r="C61" s="95"/>
      <c r="D61" s="92">
        <v>0</v>
      </c>
      <c r="E61" s="77"/>
    </row>
    <row r="62" spans="1:5" ht="16.5" thickBot="1" x14ac:dyDescent="0.3">
      <c r="A62" s="104" t="s">
        <v>282</v>
      </c>
      <c r="B62" s="23">
        <f>109.14+275.5</f>
        <v>384.64</v>
      </c>
      <c r="C62" s="95"/>
      <c r="D62" s="92">
        <v>0</v>
      </c>
      <c r="E62" s="77"/>
    </row>
    <row r="63" spans="1:5" ht="16.5" hidden="1" thickBot="1" x14ac:dyDescent="0.3">
      <c r="A63" s="104" t="s">
        <v>505</v>
      </c>
      <c r="B63" s="229"/>
      <c r="C63" s="113">
        <v>1</v>
      </c>
      <c r="D63" s="92">
        <v>0</v>
      </c>
      <c r="E63" s="77"/>
    </row>
    <row r="64" spans="1:5" ht="16.5" hidden="1" thickBot="1" x14ac:dyDescent="0.3">
      <c r="A64" s="104" t="s">
        <v>284</v>
      </c>
      <c r="B64" s="229">
        <v>0</v>
      </c>
      <c r="C64" s="114">
        <v>33</v>
      </c>
      <c r="D64" s="95">
        <v>2</v>
      </c>
      <c r="E64" s="77">
        <v>1</v>
      </c>
    </row>
    <row r="65" spans="1:4" s="79" customFormat="1" ht="16.5" hidden="1" thickBot="1" x14ac:dyDescent="0.3">
      <c r="A65" s="104" t="s">
        <v>285</v>
      </c>
      <c r="B65" s="229">
        <v>0</v>
      </c>
      <c r="C65" s="115">
        <v>33</v>
      </c>
      <c r="D65" s="108">
        <f>650/1.18</f>
        <v>550.84745762711873</v>
      </c>
    </row>
    <row r="66" spans="1:4" s="79" customFormat="1" ht="16.5" thickBot="1" x14ac:dyDescent="0.3">
      <c r="A66" s="116" t="s">
        <v>286</v>
      </c>
      <c r="B66" s="208">
        <f>SUM(B67:B74)</f>
        <v>187356.72086201105</v>
      </c>
      <c r="C66" s="89"/>
      <c r="D66" s="93"/>
    </row>
    <row r="67" spans="1:4" ht="16.5" hidden="1" thickBot="1" x14ac:dyDescent="0.3">
      <c r="A67" s="104" t="s">
        <v>287</v>
      </c>
      <c r="B67" s="23">
        <v>0</v>
      </c>
      <c r="C67" s="98"/>
      <c r="D67" s="108"/>
    </row>
    <row r="68" spans="1:4" ht="16.5" thickBot="1" x14ac:dyDescent="0.3">
      <c r="A68" s="104" t="s">
        <v>288</v>
      </c>
      <c r="B68" s="23">
        <f>63357*1.04*1.1194</f>
        <v>73758.698831999995</v>
      </c>
      <c r="C68" s="89"/>
      <c r="D68" s="93"/>
    </row>
    <row r="69" spans="1:4" ht="15.75" hidden="1" x14ac:dyDescent="0.25">
      <c r="A69" s="104" t="s">
        <v>289</v>
      </c>
      <c r="B69" s="23">
        <v>0</v>
      </c>
      <c r="C69" s="98"/>
      <c r="D69" s="108"/>
    </row>
    <row r="70" spans="1:4" ht="16.5" thickBot="1" x14ac:dyDescent="0.3">
      <c r="A70" s="109" t="s">
        <v>290</v>
      </c>
      <c r="B70" s="23">
        <f>'[3]34тарифы'!D164*B13*1.1194</f>
        <v>3123.0319216517696</v>
      </c>
      <c r="C70" s="93"/>
      <c r="D70" s="108"/>
    </row>
    <row r="71" spans="1:4" ht="15.75" x14ac:dyDescent="0.25">
      <c r="A71" s="109" t="s">
        <v>291</v>
      </c>
      <c r="B71" s="23">
        <f>VLOOKUP(A71,[2]Лист1!S$1:T$65536,2,FALSE)*B15</f>
        <v>12830.410990938668</v>
      </c>
      <c r="C71" s="117"/>
      <c r="D71" s="93"/>
    </row>
    <row r="72" spans="1:4" ht="15.75" x14ac:dyDescent="0.25">
      <c r="A72" s="109" t="s">
        <v>292</v>
      </c>
      <c r="B72" s="23">
        <f>VLOOKUP(A72,[2]Лист1!S$1:T$65536,2,FALSE)*B15</f>
        <v>44788.660365420634</v>
      </c>
      <c r="C72" s="108"/>
      <c r="D72" s="93"/>
    </row>
    <row r="73" spans="1:4" ht="15.75" x14ac:dyDescent="0.25">
      <c r="A73" s="41" t="s">
        <v>293</v>
      </c>
      <c r="B73" s="23">
        <f>4807*1.04*1.1194</f>
        <v>5596.1940319999994</v>
      </c>
      <c r="C73" s="108"/>
      <c r="D73" s="93"/>
    </row>
    <row r="74" spans="1:4" ht="15.75" x14ac:dyDescent="0.25">
      <c r="A74" s="109" t="s">
        <v>294</v>
      </c>
      <c r="B74" s="23">
        <f>40595*1.04*1.1194</f>
        <v>47259.724719999998</v>
      </c>
      <c r="C74" s="108"/>
      <c r="D74" s="93"/>
    </row>
    <row r="75" spans="1:4" ht="47.25" x14ac:dyDescent="0.25">
      <c r="A75" s="118" t="s">
        <v>328</v>
      </c>
      <c r="B75" s="208">
        <f>SUM(B76:B76)</f>
        <v>86076.130944220393</v>
      </c>
      <c r="C75" s="108"/>
      <c r="D75" s="93"/>
    </row>
    <row r="76" spans="1:4" ht="15.75" x14ac:dyDescent="0.25">
      <c r="A76" s="109" t="s">
        <v>296</v>
      </c>
      <c r="B76" s="23">
        <f>'[3]34ОЭР'!D72*1.1194</f>
        <v>86076.130944220393</v>
      </c>
      <c r="C76" s="108"/>
      <c r="D76" s="93"/>
    </row>
    <row r="77" spans="1:4" s="79" customFormat="1" ht="15.75" x14ac:dyDescent="0.25">
      <c r="A77" s="116" t="s">
        <v>297</v>
      </c>
      <c r="B77" s="208">
        <f>SUM(B78:B81)</f>
        <v>91558.799321374594</v>
      </c>
      <c r="C77" s="108"/>
      <c r="D77" s="93"/>
    </row>
    <row r="78" spans="1:4" ht="32.25" thickBot="1" x14ac:dyDescent="0.3">
      <c r="A78" s="119" t="s">
        <v>329</v>
      </c>
      <c r="B78" s="23">
        <f>'[3]34тарифы'!D170*B15*1.1194</f>
        <v>66916.444512271526</v>
      </c>
      <c r="C78" s="96"/>
      <c r="D78" s="93"/>
    </row>
    <row r="79" spans="1:4" ht="16.5" thickBot="1" x14ac:dyDescent="0.3">
      <c r="A79" s="51" t="s">
        <v>299</v>
      </c>
      <c r="B79" s="23">
        <f>(B26/1.2)*30%</f>
        <v>9135</v>
      </c>
      <c r="C79" s="98"/>
      <c r="D79" s="108"/>
    </row>
    <row r="80" spans="1:4" ht="15.75" x14ac:dyDescent="0.25">
      <c r="A80" s="120" t="s">
        <v>330</v>
      </c>
      <c r="B80" s="23">
        <f>5810.77+4136.8</f>
        <v>9947.57</v>
      </c>
      <c r="C80" s="117"/>
      <c r="D80" s="93"/>
    </row>
    <row r="81" spans="1:4" ht="15.75" x14ac:dyDescent="0.25">
      <c r="A81" s="120" t="s">
        <v>331</v>
      </c>
      <c r="B81" s="23">
        <f>'[3]34тарифы'!D173*B13*1.1194</f>
        <v>5559.7848091030673</v>
      </c>
      <c r="C81" s="108"/>
      <c r="D81" s="93"/>
    </row>
    <row r="82" spans="1:4" ht="15.75" x14ac:dyDescent="0.25">
      <c r="A82" s="121" t="s">
        <v>302</v>
      </c>
      <c r="B82" s="28">
        <f>B32+B42+B46+B66+B75+B77</f>
        <v>511073.91261160874</v>
      </c>
      <c r="C82" s="108"/>
      <c r="D82" s="93"/>
    </row>
    <row r="83" spans="1:4" ht="15.75" x14ac:dyDescent="0.25">
      <c r="A83" s="122" t="s">
        <v>303</v>
      </c>
      <c r="B83" s="23">
        <f>B82*0.03</f>
        <v>15332.217378348261</v>
      </c>
      <c r="C83" s="108"/>
      <c r="D83" s="93"/>
    </row>
    <row r="84" spans="1:4" s="103" customFormat="1" ht="15.75" x14ac:dyDescent="0.25">
      <c r="A84" s="123" t="s">
        <v>304</v>
      </c>
      <c r="B84" s="208">
        <f>B82+B83</f>
        <v>526406.12998995697</v>
      </c>
      <c r="C84" s="108"/>
      <c r="D84" s="93"/>
    </row>
    <row r="85" spans="1:4" ht="16.5" thickBot="1" x14ac:dyDescent="0.3">
      <c r="A85" s="124" t="s">
        <v>305</v>
      </c>
      <c r="B85" s="240">
        <f>B84*0.2</f>
        <v>105281.22599799139</v>
      </c>
      <c r="C85" s="108"/>
      <c r="D85" s="93"/>
    </row>
    <row r="86" spans="1:4" s="79" customFormat="1" ht="16.5" thickBot="1" x14ac:dyDescent="0.3">
      <c r="A86" s="125" t="s">
        <v>306</v>
      </c>
      <c r="B86" s="66">
        <f>B84+B85</f>
        <v>631687.35598794837</v>
      </c>
      <c r="C86" s="89"/>
      <c r="D86" s="126"/>
    </row>
    <row r="87" spans="1:4" s="79" customFormat="1" ht="16.5" thickBot="1" x14ac:dyDescent="0.3">
      <c r="A87" s="127" t="s">
        <v>307</v>
      </c>
      <c r="B87" s="296">
        <f>B10+B24+B26+B28+B29-B86</f>
        <v>-907028.23598794837</v>
      </c>
      <c r="C87" s="128"/>
      <c r="D87" s="129"/>
    </row>
    <row r="88" spans="1:4" s="79" customFormat="1" ht="16.5" thickBot="1" x14ac:dyDescent="0.3">
      <c r="A88" s="130" t="s">
        <v>308</v>
      </c>
      <c r="B88" s="66">
        <f>B10+B25+B27+B28+B29-B86</f>
        <v>-914788.55598794832</v>
      </c>
      <c r="C88" s="131"/>
      <c r="D88" s="129"/>
    </row>
    <row r="89" spans="1:4" s="79" customFormat="1" ht="16.5" hidden="1" thickBot="1" x14ac:dyDescent="0.3">
      <c r="A89" s="132" t="s">
        <v>309</v>
      </c>
      <c r="B89" s="66">
        <f>B11+B24-B25</f>
        <v>-4115.179999999993</v>
      </c>
      <c r="C89" s="129"/>
      <c r="D89" s="129"/>
    </row>
    <row r="90" spans="1:4" s="79" customFormat="1" ht="15.75" x14ac:dyDescent="0.25">
      <c r="A90" s="133"/>
      <c r="B90" s="242"/>
      <c r="C90" s="129"/>
      <c r="D90" s="129"/>
    </row>
    <row r="91" spans="1:4" ht="15.75" x14ac:dyDescent="0.25">
      <c r="A91" s="134"/>
      <c r="B91" s="3"/>
      <c r="C91" s="77"/>
      <c r="D91" s="77"/>
    </row>
    <row r="92" spans="1:4" ht="15.75" x14ac:dyDescent="0.25">
      <c r="A92" s="323" t="s">
        <v>332</v>
      </c>
      <c r="B92" s="323"/>
      <c r="C92" s="77"/>
      <c r="D92" s="77"/>
    </row>
    <row r="93" spans="1:4" ht="15.75" x14ac:dyDescent="0.25">
      <c r="A93" s="134"/>
      <c r="B93" s="3"/>
      <c r="C93" s="77"/>
      <c r="D93" s="77"/>
    </row>
    <row r="94" spans="1:4" ht="15.75" hidden="1" x14ac:dyDescent="0.25">
      <c r="A94" s="324" t="s">
        <v>333</v>
      </c>
      <c r="B94" s="324"/>
      <c r="C94" s="135"/>
      <c r="D94" s="77"/>
    </row>
    <row r="95" spans="1:4" ht="15.75" x14ac:dyDescent="0.25">
      <c r="A95" s="77"/>
      <c r="B95" s="3"/>
      <c r="C95" s="77"/>
      <c r="D95" s="77"/>
    </row>
  </sheetData>
  <autoFilter ref="A31:G89" xr:uid="{00000000-0009-0000-0000-00000E000000}">
    <filterColumn colId="1">
      <filters>
        <filter val="1 512,06"/>
        <filter val="12 830,41"/>
        <filter val="14 452,58"/>
        <filter val="14 894,94"/>
        <filter val="172,00"/>
        <filter val="187 356,72"/>
        <filter val="2 046,83"/>
        <filter val="2 175,78"/>
        <filter val="20 025,75"/>
        <filter val="3 123,03"/>
        <filter val="3 233,01"/>
        <filter val="3 618,75"/>
        <filter val="4 103,61"/>
        <filter val="-4 115,18"/>
        <filter val="4 122,99"/>
        <filter val="44 788,66"/>
        <filter val="47 259,72"/>
        <filter val="481 752,80"/>
        <filter val="496 205,38"/>
        <filter val="5 559,78"/>
        <filter val="5 596,19"/>
        <filter val="595 446,45"/>
        <filter val="6 547,22"/>
        <filter val="66 916,44"/>
        <filter val="-697 119,92"/>
        <filter val="-704 880,24"/>
        <filter val="73 758,70"/>
        <filter val="84 281,53"/>
        <filter val="85 734,22"/>
        <filter val="86 076,13"/>
        <filter val="9 135,00"/>
        <filter val="9 684,39"/>
        <filter val="92 875,58"/>
        <filter val="99 241,08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77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filterMode="1">
    <pageSetUpPr fitToPage="1"/>
  </sheetPr>
  <dimension ref="A1:G95"/>
  <sheetViews>
    <sheetView view="pageBreakPreview" topLeftCell="A36" zoomScale="80" zoomScaleNormal="100" zoomScaleSheetLayoutView="80" workbookViewId="0">
      <selection activeCell="B81" sqref="B81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25" t="s">
        <v>224</v>
      </c>
      <c r="B1" s="340"/>
      <c r="C1" s="77"/>
      <c r="D1" s="77"/>
    </row>
    <row r="2" spans="1:4" ht="16.5" x14ac:dyDescent="0.25">
      <c r="A2" s="326" t="s">
        <v>225</v>
      </c>
      <c r="B2" s="341"/>
      <c r="C2" s="77"/>
      <c r="D2" s="77"/>
    </row>
    <row r="3" spans="1:4" ht="16.5" x14ac:dyDescent="0.25">
      <c r="A3" s="326" t="s">
        <v>226</v>
      </c>
      <c r="B3" s="341"/>
      <c r="C3" s="77"/>
      <c r="D3" s="77"/>
    </row>
    <row r="4" spans="1:4" ht="15.75" x14ac:dyDescent="0.25">
      <c r="A4" s="78" t="s">
        <v>516</v>
      </c>
      <c r="B4" s="136"/>
      <c r="C4" s="77"/>
      <c r="D4" s="77"/>
    </row>
    <row r="5" spans="1:4" ht="15.75" x14ac:dyDescent="0.25">
      <c r="A5" s="78" t="s">
        <v>32</v>
      </c>
      <c r="B5" s="137"/>
      <c r="C5" s="77"/>
      <c r="D5" s="77"/>
    </row>
    <row r="6" spans="1:4" ht="5.25" customHeight="1" x14ac:dyDescent="0.25">
      <c r="A6" s="78"/>
      <c r="B6" s="7"/>
      <c r="C6" s="79"/>
      <c r="D6" s="77"/>
    </row>
    <row r="7" spans="1:4" ht="16.5" thickBot="1" x14ac:dyDescent="0.3">
      <c r="A7" s="80"/>
      <c r="B7" s="7"/>
      <c r="C7" s="79"/>
      <c r="D7" s="77"/>
    </row>
    <row r="8" spans="1:4" ht="15.75" customHeight="1" x14ac:dyDescent="0.2">
      <c r="A8" s="327" t="s">
        <v>227</v>
      </c>
      <c r="B8" s="319" t="s">
        <v>228</v>
      </c>
      <c r="C8" s="331" t="s">
        <v>229</v>
      </c>
      <c r="D8" s="321" t="s">
        <v>230</v>
      </c>
    </row>
    <row r="9" spans="1:4" ht="28.5" customHeight="1" thickBot="1" x14ac:dyDescent="0.25">
      <c r="A9" s="328"/>
      <c r="B9" s="320"/>
      <c r="C9" s="332"/>
      <c r="D9" s="322"/>
    </row>
    <row r="10" spans="1:4" ht="16.5" thickBot="1" x14ac:dyDescent="0.25">
      <c r="A10" s="81" t="s">
        <v>231</v>
      </c>
      <c r="B10" s="302">
        <f>VLOOKUP(A5,мкд!S:T,2,FALSE)</f>
        <v>653423.11</v>
      </c>
      <c r="C10" s="83"/>
      <c r="D10" s="84"/>
    </row>
    <row r="11" spans="1:4" ht="16.5" hidden="1" thickBot="1" x14ac:dyDescent="0.25">
      <c r="A11" s="85" t="s">
        <v>232</v>
      </c>
      <c r="B11" s="82"/>
      <c r="C11" s="84"/>
      <c r="D11" s="86"/>
    </row>
    <row r="12" spans="1:4" ht="16.5" thickBot="1" x14ac:dyDescent="0.3">
      <c r="A12" s="87" t="s">
        <v>233</v>
      </c>
      <c r="B12" s="88"/>
      <c r="C12" s="89" t="s">
        <v>234</v>
      </c>
      <c r="D12" s="90" t="s">
        <v>234</v>
      </c>
    </row>
    <row r="13" spans="1:4" ht="16.5" hidden="1" thickBot="1" x14ac:dyDescent="0.3">
      <c r="A13" s="91" t="s">
        <v>235</v>
      </c>
      <c r="B13" s="20">
        <v>2944</v>
      </c>
      <c r="C13" s="90" t="s">
        <v>234</v>
      </c>
      <c r="D13" s="92" t="s">
        <v>234</v>
      </c>
    </row>
    <row r="14" spans="1:4" ht="16.5" hidden="1" thickBot="1" x14ac:dyDescent="0.3">
      <c r="A14" s="91" t="s">
        <v>236</v>
      </c>
      <c r="B14" s="20">
        <v>0</v>
      </c>
      <c r="C14" s="93"/>
      <c r="D14" s="92"/>
    </row>
    <row r="15" spans="1:4" ht="15.75" x14ac:dyDescent="0.25">
      <c r="A15" s="91" t="s">
        <v>237</v>
      </c>
      <c r="B15" s="20">
        <f>B13+B14</f>
        <v>2944</v>
      </c>
      <c r="C15" s="94"/>
      <c r="D15" s="95"/>
    </row>
    <row r="16" spans="1:4" ht="16.5" thickBot="1" x14ac:dyDescent="0.3">
      <c r="A16" s="91" t="s">
        <v>238</v>
      </c>
      <c r="B16" s="20">
        <f>1068.1+2192/3</f>
        <v>1798.7666666666664</v>
      </c>
      <c r="C16" s="96" t="s">
        <v>234</v>
      </c>
      <c r="D16" s="95" t="s">
        <v>234</v>
      </c>
    </row>
    <row r="17" spans="1:7" ht="16.5" hidden="1" thickBot="1" x14ac:dyDescent="0.3">
      <c r="A17" s="91" t="s">
        <v>239</v>
      </c>
      <c r="B17" s="20">
        <v>0</v>
      </c>
      <c r="C17" s="90" t="s">
        <v>234</v>
      </c>
      <c r="D17" s="92" t="s">
        <v>234</v>
      </c>
      <c r="E17" s="77"/>
      <c r="F17" s="77"/>
      <c r="G17" s="77"/>
    </row>
    <row r="18" spans="1:7" ht="16.5" hidden="1" thickBot="1" x14ac:dyDescent="0.3">
      <c r="A18" s="91" t="s">
        <v>240</v>
      </c>
      <c r="B18" s="20">
        <v>406.2</v>
      </c>
      <c r="C18" s="95" t="s">
        <v>234</v>
      </c>
      <c r="D18" s="92" t="s">
        <v>234</v>
      </c>
      <c r="E18" s="77"/>
      <c r="F18" s="77"/>
      <c r="G18" s="77"/>
    </row>
    <row r="19" spans="1:7" ht="16.5" hidden="1" thickBot="1" x14ac:dyDescent="0.3">
      <c r="A19" s="91" t="s">
        <v>241</v>
      </c>
      <c r="B19" s="20">
        <v>0</v>
      </c>
      <c r="C19" s="95" t="s">
        <v>234</v>
      </c>
      <c r="D19" s="92" t="s">
        <v>234</v>
      </c>
      <c r="E19" s="77"/>
      <c r="F19" s="77"/>
      <c r="G19" s="77"/>
    </row>
    <row r="20" spans="1:7" ht="16.5" hidden="1" thickBot="1" x14ac:dyDescent="0.3">
      <c r="A20" s="91" t="s">
        <v>242</v>
      </c>
      <c r="B20" s="20">
        <v>1018.4</v>
      </c>
      <c r="C20" s="95"/>
      <c r="D20" s="92"/>
      <c r="E20" s="77"/>
      <c r="F20" s="77"/>
      <c r="G20" s="77"/>
    </row>
    <row r="21" spans="1:7" ht="16.5" hidden="1" thickBot="1" x14ac:dyDescent="0.3">
      <c r="A21" s="91" t="s">
        <v>243</v>
      </c>
      <c r="B21" s="20">
        <v>0</v>
      </c>
      <c r="C21" s="95" t="s">
        <v>234</v>
      </c>
      <c r="D21" s="92" t="s">
        <v>234</v>
      </c>
      <c r="E21" s="77"/>
      <c r="F21" s="77"/>
      <c r="G21" s="77"/>
    </row>
    <row r="22" spans="1:7" ht="16.5" hidden="1" thickBot="1" x14ac:dyDescent="0.3">
      <c r="A22" s="91" t="s">
        <v>244</v>
      </c>
      <c r="B22" s="20">
        <v>262</v>
      </c>
      <c r="C22" s="93"/>
      <c r="D22" s="92"/>
      <c r="E22" s="77"/>
      <c r="F22" s="77"/>
      <c r="G22" s="77"/>
    </row>
    <row r="23" spans="1:7" ht="15.75" x14ac:dyDescent="0.25">
      <c r="A23" s="91"/>
      <c r="B23" s="20"/>
      <c r="C23" s="94"/>
      <c r="D23" s="95"/>
      <c r="E23" s="77">
        <v>10</v>
      </c>
      <c r="F23" s="77">
        <v>2</v>
      </c>
      <c r="G23" s="77"/>
    </row>
    <row r="24" spans="1:7" ht="15.75" x14ac:dyDescent="0.25">
      <c r="A24" s="97" t="s">
        <v>319</v>
      </c>
      <c r="B24" s="25">
        <f>VLOOKUP(A5,[1]Лист1!M$1:N$65536,2,FALSE)</f>
        <v>708021.1399999999</v>
      </c>
      <c r="C24" s="92"/>
      <c r="D24" s="95"/>
      <c r="E24" s="26">
        <v>20</v>
      </c>
      <c r="F24" s="27">
        <v>22.387999999999998</v>
      </c>
      <c r="G24" s="77"/>
    </row>
    <row r="25" spans="1:7" ht="16.5" thickBot="1" x14ac:dyDescent="0.3">
      <c r="A25" s="97" t="s">
        <v>320</v>
      </c>
      <c r="B25" s="25">
        <f>VLOOKUP(A5,[1]Лист1!M$1:O$65536,3,FALSE)</f>
        <v>791846.8899999999</v>
      </c>
      <c r="C25" s="96"/>
      <c r="D25" s="95"/>
      <c r="E25" s="77"/>
      <c r="F25" s="77"/>
      <c r="G25" s="77"/>
    </row>
    <row r="26" spans="1:7" ht="16.5" hidden="1" thickBot="1" x14ac:dyDescent="0.3">
      <c r="A26" s="97" t="s">
        <v>321</v>
      </c>
      <c r="B26" s="25"/>
      <c r="C26" s="90"/>
      <c r="D26" s="92"/>
      <c r="E26" s="77"/>
      <c r="F26" s="77"/>
      <c r="G26" s="77"/>
    </row>
    <row r="27" spans="1:7" ht="16.5" hidden="1" thickBot="1" x14ac:dyDescent="0.3">
      <c r="A27" s="97" t="s">
        <v>248</v>
      </c>
      <c r="B27" s="25">
        <f>B26</f>
        <v>0</v>
      </c>
      <c r="C27" s="93"/>
      <c r="D27" s="92"/>
      <c r="E27" s="77"/>
      <c r="F27" s="77"/>
      <c r="G27" s="77"/>
    </row>
    <row r="28" spans="1:7" ht="16.5" hidden="1" thickBot="1" x14ac:dyDescent="0.3">
      <c r="A28" s="97" t="s">
        <v>249</v>
      </c>
      <c r="B28" s="25"/>
      <c r="C28" s="89"/>
      <c r="D28" s="95"/>
      <c r="E28" s="77"/>
      <c r="F28" s="77"/>
      <c r="G28" s="77"/>
    </row>
    <row r="29" spans="1:7" ht="16.5" hidden="1" thickBot="1" x14ac:dyDescent="0.3">
      <c r="A29" s="97" t="s">
        <v>250</v>
      </c>
      <c r="B29" s="25"/>
      <c r="C29" s="98"/>
      <c r="D29" s="92"/>
      <c r="E29" s="77"/>
      <c r="F29" s="77"/>
      <c r="G29" s="77"/>
    </row>
    <row r="30" spans="1:7" ht="15.75" x14ac:dyDescent="0.25">
      <c r="A30" s="99"/>
      <c r="B30" s="20"/>
      <c r="C30" s="94"/>
      <c r="D30" s="95"/>
      <c r="E30" s="77"/>
      <c r="F30" s="77"/>
      <c r="G30" s="77"/>
    </row>
    <row r="31" spans="1:7" ht="15.75" x14ac:dyDescent="0.25">
      <c r="A31" s="100" t="s">
        <v>251</v>
      </c>
      <c r="B31" s="20"/>
      <c r="C31" s="92"/>
      <c r="D31" s="95"/>
      <c r="E31" s="77"/>
      <c r="F31" s="77"/>
      <c r="G31" s="77"/>
    </row>
    <row r="32" spans="1:7" s="103" customFormat="1" ht="31.5" x14ac:dyDescent="0.25">
      <c r="A32" s="101" t="s">
        <v>252</v>
      </c>
      <c r="B32" s="32">
        <f>SUM(B33:B41)</f>
        <v>131916.41999999998</v>
      </c>
      <c r="C32" s="92"/>
      <c r="D32" s="95"/>
      <c r="E32" s="102">
        <f>(B86-B26-B24)/1.2/1.03</f>
        <v>198531.72962323806</v>
      </c>
      <c r="F32" s="102" t="e">
        <f>(#REF!-#REF!-#REF!)/1.2/1.03</f>
        <v>#REF!</v>
      </c>
      <c r="G32" s="102" t="e">
        <f>(#REF!-#REF!-#REF!)/1.2/1.03</f>
        <v>#REF!</v>
      </c>
    </row>
    <row r="33" spans="1:7" ht="16.5" thickBot="1" x14ac:dyDescent="0.3">
      <c r="A33" s="104" t="s">
        <v>253</v>
      </c>
      <c r="B33" s="20">
        <f>35000*1.12</f>
        <v>39200.000000000007</v>
      </c>
      <c r="C33" s="96"/>
      <c r="D33" s="95">
        <v>28672.2</v>
      </c>
      <c r="E33" s="77"/>
      <c r="F33" s="77"/>
      <c r="G33" s="77"/>
    </row>
    <row r="34" spans="1:7" ht="15.75" hidden="1" x14ac:dyDescent="0.25">
      <c r="A34" s="104" t="s">
        <v>322</v>
      </c>
      <c r="B34" s="20">
        <v>0</v>
      </c>
      <c r="C34" s="90"/>
      <c r="D34" s="92">
        <v>0</v>
      </c>
      <c r="E34" s="77"/>
      <c r="F34" s="77"/>
      <c r="G34" s="77"/>
    </row>
    <row r="35" spans="1:7" ht="15.75" hidden="1" x14ac:dyDescent="0.25">
      <c r="A35" s="104" t="s">
        <v>256</v>
      </c>
      <c r="B35" s="20"/>
      <c r="C35" s="95"/>
      <c r="D35" s="92">
        <v>0</v>
      </c>
      <c r="E35" s="77"/>
      <c r="F35" s="77"/>
      <c r="G35" s="77"/>
    </row>
    <row r="36" spans="1:7" ht="15.75" x14ac:dyDescent="0.25">
      <c r="A36" s="104" t="s">
        <v>255</v>
      </c>
      <c r="B36" s="20">
        <v>64711</v>
      </c>
      <c r="C36" s="95" t="s">
        <v>234</v>
      </c>
      <c r="D36" s="92">
        <v>0</v>
      </c>
      <c r="E36" s="77"/>
      <c r="F36" s="77"/>
      <c r="G36" s="77"/>
    </row>
    <row r="37" spans="1:7" ht="16.5" thickBot="1" x14ac:dyDescent="0.3">
      <c r="A37" s="35" t="s">
        <v>342</v>
      </c>
      <c r="B37" s="20">
        <v>28005.42</v>
      </c>
      <c r="C37" s="95"/>
      <c r="D37" s="92">
        <v>0</v>
      </c>
      <c r="E37" s="77"/>
      <c r="F37" s="77"/>
      <c r="G37" s="77"/>
    </row>
    <row r="38" spans="1:7" ht="16.5" hidden="1" thickBot="1" x14ac:dyDescent="0.3">
      <c r="A38" s="104" t="s">
        <v>343</v>
      </c>
      <c r="B38" s="20">
        <v>0</v>
      </c>
      <c r="C38" s="95"/>
      <c r="D38" s="92">
        <v>0</v>
      </c>
      <c r="E38" s="77"/>
      <c r="F38" s="77"/>
      <c r="G38" s="77"/>
    </row>
    <row r="39" spans="1:7" ht="16.5" hidden="1" thickBot="1" x14ac:dyDescent="0.3">
      <c r="A39" s="104" t="s">
        <v>324</v>
      </c>
      <c r="B39" s="20">
        <v>0</v>
      </c>
      <c r="C39" s="95"/>
      <c r="D39" s="92">
        <v>0</v>
      </c>
      <c r="E39" s="77"/>
      <c r="F39" s="77"/>
      <c r="G39" s="77"/>
    </row>
    <row r="40" spans="1:7" ht="16.5" hidden="1" thickBot="1" x14ac:dyDescent="0.3">
      <c r="A40" s="104" t="s">
        <v>312</v>
      </c>
      <c r="B40" s="20">
        <v>0</v>
      </c>
      <c r="C40" s="95"/>
      <c r="D40" s="92"/>
      <c r="E40" s="77"/>
      <c r="F40" s="77"/>
      <c r="G40" s="77"/>
    </row>
    <row r="41" spans="1:7" ht="16.5" hidden="1" thickBot="1" x14ac:dyDescent="0.3">
      <c r="A41" s="104" t="s">
        <v>343</v>
      </c>
      <c r="B41" s="20"/>
      <c r="C41" s="93"/>
      <c r="D41" s="92"/>
      <c r="E41" s="77"/>
      <c r="F41" s="77"/>
      <c r="G41" s="77"/>
    </row>
    <row r="42" spans="1:7" s="103" customFormat="1" ht="48" thickBot="1" x14ac:dyDescent="0.3">
      <c r="A42" s="101" t="s">
        <v>325</v>
      </c>
      <c r="B42" s="32">
        <f>SUM(B43:B45)</f>
        <v>64988.059470443426</v>
      </c>
      <c r="C42" s="89"/>
      <c r="D42" s="95"/>
      <c r="E42" s="102"/>
      <c r="F42" s="102"/>
      <c r="G42" s="102"/>
    </row>
    <row r="43" spans="1:7" ht="15.75" x14ac:dyDescent="0.25">
      <c r="A43" s="104" t="s">
        <v>262</v>
      </c>
      <c r="B43" s="20">
        <v>2928</v>
      </c>
      <c r="C43" s="98"/>
      <c r="D43" s="108"/>
      <c r="E43" s="77"/>
      <c r="F43" s="77"/>
      <c r="G43" s="77"/>
    </row>
    <row r="44" spans="1:7" ht="15.75" x14ac:dyDescent="0.25">
      <c r="A44" s="104" t="s">
        <v>263</v>
      </c>
      <c r="B44" s="20">
        <f>5834+33220+6095</f>
        <v>45149</v>
      </c>
      <c r="C44" s="93"/>
      <c r="D44" s="108"/>
      <c r="E44" s="77"/>
      <c r="F44" s="77"/>
      <c r="G44" s="77"/>
    </row>
    <row r="45" spans="1:7" ht="16.5" thickBot="1" x14ac:dyDescent="0.3">
      <c r="A45" s="109" t="s">
        <v>264</v>
      </c>
      <c r="B45" s="20">
        <f>[4]тарифы!D163*B15+1291.77</f>
        <v>16911.059470443426</v>
      </c>
      <c r="C45" s="93"/>
      <c r="D45" s="108"/>
      <c r="E45" s="77"/>
      <c r="F45" s="77"/>
      <c r="G45" s="77"/>
    </row>
    <row r="46" spans="1:7" s="79" customFormat="1" ht="16.5" thickBot="1" x14ac:dyDescent="0.3">
      <c r="A46" s="101" t="s">
        <v>265</v>
      </c>
      <c r="B46" s="32">
        <f>SUM(B47:B65)</f>
        <v>173555.38999999998</v>
      </c>
      <c r="C46" s="89"/>
      <c r="D46" s="95"/>
    </row>
    <row r="47" spans="1:7" ht="15.75" x14ac:dyDescent="0.25">
      <c r="A47" s="104" t="s">
        <v>326</v>
      </c>
      <c r="B47" s="20">
        <v>1706.04</v>
      </c>
      <c r="C47" s="90"/>
      <c r="D47" s="92"/>
      <c r="E47" s="77" t="s">
        <v>267</v>
      </c>
      <c r="F47" s="77"/>
      <c r="G47" s="77"/>
    </row>
    <row r="48" spans="1:7" ht="15.75" x14ac:dyDescent="0.25">
      <c r="A48" s="104" t="s">
        <v>317</v>
      </c>
      <c r="B48" s="20">
        <v>2071.62</v>
      </c>
      <c r="C48" s="95"/>
      <c r="D48" s="92"/>
      <c r="E48" s="77" t="s">
        <v>269</v>
      </c>
      <c r="F48" s="77"/>
      <c r="G48" s="77"/>
    </row>
    <row r="49" spans="1:4" ht="15.75" hidden="1" x14ac:dyDescent="0.25">
      <c r="A49" s="110" t="s">
        <v>270</v>
      </c>
      <c r="B49" s="20">
        <v>0</v>
      </c>
      <c r="C49" s="95"/>
      <c r="D49" s="92"/>
    </row>
    <row r="50" spans="1:4" ht="15.75" hidden="1" x14ac:dyDescent="0.25">
      <c r="A50" s="110" t="s">
        <v>271</v>
      </c>
      <c r="B50" s="20">
        <v>0</v>
      </c>
      <c r="C50" s="95"/>
      <c r="D50" s="92">
        <v>4190</v>
      </c>
    </row>
    <row r="51" spans="1:4" ht="15.75" hidden="1" x14ac:dyDescent="0.25">
      <c r="A51" s="110" t="s">
        <v>316</v>
      </c>
      <c r="B51" s="20"/>
      <c r="C51" s="95"/>
      <c r="D51" s="92"/>
    </row>
    <row r="52" spans="1:4" ht="15.75" hidden="1" x14ac:dyDescent="0.25">
      <c r="A52" s="110" t="s">
        <v>273</v>
      </c>
      <c r="B52" s="20">
        <f>B21*[4]тарифы!D177</f>
        <v>0</v>
      </c>
      <c r="C52" s="95"/>
      <c r="D52" s="92">
        <v>105.14</v>
      </c>
    </row>
    <row r="53" spans="1:4" ht="15" customHeight="1" x14ac:dyDescent="0.25">
      <c r="A53" s="110" t="s">
        <v>542</v>
      </c>
      <c r="B53" s="20">
        <v>4200</v>
      </c>
      <c r="C53" s="95">
        <v>0</v>
      </c>
      <c r="D53" s="92">
        <v>522.99</v>
      </c>
    </row>
    <row r="54" spans="1:4" ht="15.75" x14ac:dyDescent="0.25">
      <c r="A54" s="143" t="s">
        <v>545</v>
      </c>
      <c r="B54" s="20">
        <v>21800.68</v>
      </c>
      <c r="C54" s="95">
        <v>1</v>
      </c>
      <c r="D54" s="111">
        <v>657.53</v>
      </c>
    </row>
    <row r="55" spans="1:4" ht="15.75" x14ac:dyDescent="0.25">
      <c r="A55" s="110" t="s">
        <v>345</v>
      </c>
      <c r="B55" s="20">
        <f>840+1768.35+11035.97</f>
        <v>13644.32</v>
      </c>
      <c r="C55" s="95"/>
      <c r="D55" s="111"/>
    </row>
    <row r="56" spans="1:4" ht="15.75" hidden="1" x14ac:dyDescent="0.25">
      <c r="A56" s="110" t="s">
        <v>277</v>
      </c>
      <c r="B56" s="20">
        <v>0</v>
      </c>
      <c r="C56" s="95">
        <v>0</v>
      </c>
      <c r="D56" s="92">
        <f>10695.76/1.18</f>
        <v>9064.203389830509</v>
      </c>
    </row>
    <row r="57" spans="1:4" ht="15.75" hidden="1" x14ac:dyDescent="0.25">
      <c r="A57" s="110" t="s">
        <v>314</v>
      </c>
      <c r="B57" s="20">
        <v>0</v>
      </c>
      <c r="C57" s="95">
        <v>0</v>
      </c>
      <c r="D57" s="92">
        <f>2300/1.18</f>
        <v>1949.1525423728815</v>
      </c>
    </row>
    <row r="58" spans="1:4" ht="15.75" hidden="1" x14ac:dyDescent="0.25">
      <c r="A58" s="110" t="s">
        <v>315</v>
      </c>
      <c r="B58" s="20">
        <v>0</v>
      </c>
      <c r="C58" s="93">
        <v>0</v>
      </c>
      <c r="D58" s="92">
        <v>0</v>
      </c>
    </row>
    <row r="59" spans="1:4" ht="16.5" hidden="1" thickBot="1" x14ac:dyDescent="0.3">
      <c r="A59" s="110" t="s">
        <v>279</v>
      </c>
      <c r="B59" s="20">
        <v>0</v>
      </c>
      <c r="C59" s="89"/>
      <c r="D59" s="95"/>
    </row>
    <row r="60" spans="1:4" ht="15.75" hidden="1" x14ac:dyDescent="0.25">
      <c r="A60" s="104" t="s">
        <v>280</v>
      </c>
      <c r="B60" s="20">
        <v>0</v>
      </c>
      <c r="C60" s="90"/>
      <c r="D60" s="92"/>
    </row>
    <row r="61" spans="1:4" ht="15.75" hidden="1" x14ac:dyDescent="0.25">
      <c r="A61" s="104" t="s">
        <v>281</v>
      </c>
      <c r="B61" s="20">
        <v>0</v>
      </c>
      <c r="C61" s="95"/>
      <c r="D61" s="92">
        <v>0</v>
      </c>
    </row>
    <row r="62" spans="1:4" ht="15.75" hidden="1" x14ac:dyDescent="0.25">
      <c r="A62" s="104" t="s">
        <v>346</v>
      </c>
      <c r="B62" s="20"/>
      <c r="C62" s="95"/>
      <c r="D62" s="92">
        <v>0</v>
      </c>
    </row>
    <row r="63" spans="1:4" ht="16.5" thickBot="1" x14ac:dyDescent="0.3">
      <c r="A63" s="104" t="s">
        <v>341</v>
      </c>
      <c r="B63" s="112">
        <f>79439.12+42560</f>
        <v>121999.12</v>
      </c>
      <c r="C63" s="113">
        <v>1</v>
      </c>
      <c r="D63" s="92">
        <v>0</v>
      </c>
    </row>
    <row r="64" spans="1:4" ht="16.5" thickBot="1" x14ac:dyDescent="0.3">
      <c r="A64" s="104" t="s">
        <v>347</v>
      </c>
      <c r="B64" s="112">
        <v>8133.61</v>
      </c>
      <c r="C64" s="114">
        <v>188</v>
      </c>
      <c r="D64" s="95">
        <v>0.25</v>
      </c>
    </row>
    <row r="65" spans="1:4" s="79" customFormat="1" ht="16.5" hidden="1" thickBot="1" x14ac:dyDescent="0.3">
      <c r="A65" s="104" t="s">
        <v>348</v>
      </c>
      <c r="B65" s="112"/>
      <c r="C65" s="115">
        <v>158</v>
      </c>
      <c r="D65" s="108">
        <f>650/1.18</f>
        <v>550.84745762711873</v>
      </c>
    </row>
    <row r="66" spans="1:4" s="79" customFormat="1" ht="16.5" thickBot="1" x14ac:dyDescent="0.3">
      <c r="A66" s="116" t="s">
        <v>286</v>
      </c>
      <c r="B66" s="32">
        <f>SUM(B67:B74)</f>
        <v>189711.55422876091</v>
      </c>
      <c r="C66" s="89"/>
      <c r="D66" s="93"/>
    </row>
    <row r="67" spans="1:4" ht="16.5" hidden="1" thickBot="1" x14ac:dyDescent="0.3">
      <c r="A67" s="104" t="s">
        <v>287</v>
      </c>
      <c r="B67" s="20">
        <v>0</v>
      </c>
      <c r="C67" s="98"/>
      <c r="D67" s="108"/>
    </row>
    <row r="68" spans="1:4" ht="16.5" thickBot="1" x14ac:dyDescent="0.3">
      <c r="A68" s="104" t="s">
        <v>288</v>
      </c>
      <c r="B68" s="20">
        <f>65336.28*1.04*1.12</f>
        <v>76103.698944000003</v>
      </c>
      <c r="C68" s="89"/>
      <c r="D68" s="93"/>
    </row>
    <row r="69" spans="1:4" ht="15.75" hidden="1" x14ac:dyDescent="0.25">
      <c r="A69" s="104" t="s">
        <v>289</v>
      </c>
      <c r="B69" s="20">
        <v>0</v>
      </c>
      <c r="C69" s="98"/>
      <c r="D69" s="108"/>
    </row>
    <row r="70" spans="1:4" ht="16.5" thickBot="1" x14ac:dyDescent="0.3">
      <c r="A70" s="109" t="s">
        <v>290</v>
      </c>
      <c r="B70" s="20">
        <f>[4]тарифы!D164*B13*1.12</f>
        <v>3635.1592843152957</v>
      </c>
      <c r="C70" s="93"/>
      <c r="D70" s="108"/>
    </row>
    <row r="71" spans="1:4" ht="15.75" x14ac:dyDescent="0.25">
      <c r="A71" s="109" t="s">
        <v>291</v>
      </c>
      <c r="B71" s="20">
        <f>[4]тарифы!D165*B15*1.12</f>
        <v>18827.096000445606</v>
      </c>
      <c r="C71" s="117"/>
      <c r="D71" s="93"/>
    </row>
    <row r="72" spans="1:4" ht="15.75" x14ac:dyDescent="0.25">
      <c r="A72" s="109" t="s">
        <v>292</v>
      </c>
      <c r="B72" s="20">
        <f>30068*1.04*1.12</f>
        <v>35023.206400000003</v>
      </c>
      <c r="C72" s="108"/>
      <c r="D72" s="93"/>
    </row>
    <row r="73" spans="1:4" ht="15.75" x14ac:dyDescent="0.25">
      <c r="A73" s="41" t="s">
        <v>293</v>
      </c>
      <c r="B73" s="20">
        <f>5102*1.04*1.12</f>
        <v>5942.8096000000005</v>
      </c>
      <c r="C73" s="108"/>
      <c r="D73" s="93"/>
    </row>
    <row r="74" spans="1:4" ht="15.75" x14ac:dyDescent="0.25">
      <c r="A74" s="109" t="s">
        <v>294</v>
      </c>
      <c r="B74" s="20">
        <f>43080*1.04*1.12</f>
        <v>50179.58400000001</v>
      </c>
      <c r="C74" s="108"/>
      <c r="D74" s="93"/>
    </row>
    <row r="75" spans="1:4" ht="47.25" x14ac:dyDescent="0.25">
      <c r="A75" s="118" t="s">
        <v>328</v>
      </c>
      <c r="B75" s="32">
        <f>SUM(B76:B76)</f>
        <v>100191.241847547</v>
      </c>
      <c r="C75" s="108"/>
      <c r="D75" s="93"/>
    </row>
    <row r="76" spans="1:4" ht="15.75" x14ac:dyDescent="0.25">
      <c r="A76" s="109" t="s">
        <v>296</v>
      </c>
      <c r="B76" s="20">
        <f>[4]ОЭР!D40*1.12</f>
        <v>100191.241847547</v>
      </c>
      <c r="C76" s="108"/>
      <c r="D76" s="93"/>
    </row>
    <row r="77" spans="1:4" s="79" customFormat="1" ht="15.75" x14ac:dyDescent="0.25">
      <c r="A77" s="116" t="s">
        <v>297</v>
      </c>
      <c r="B77" s="32">
        <f>SUM(B78:B81)</f>
        <v>111001.70161693974</v>
      </c>
      <c r="C77" s="108"/>
      <c r="D77" s="93"/>
    </row>
    <row r="78" spans="1:4" ht="32.25" thickBot="1" x14ac:dyDescent="0.3">
      <c r="A78" s="119" t="s">
        <v>329</v>
      </c>
      <c r="B78" s="20">
        <f>[4]тарифы!D170*B15*1.12</f>
        <v>71050.250884754874</v>
      </c>
      <c r="C78" s="96"/>
      <c r="D78" s="93"/>
    </row>
    <row r="79" spans="1:4" ht="16.5" hidden="1" thickBot="1" x14ac:dyDescent="0.3">
      <c r="A79" s="51" t="s">
        <v>299</v>
      </c>
      <c r="B79" s="20">
        <f>(B26/1.2)*30%</f>
        <v>0</v>
      </c>
      <c r="C79" s="98"/>
      <c r="D79" s="108"/>
    </row>
    <row r="80" spans="1:4" ht="15.75" x14ac:dyDescent="0.25">
      <c r="A80" s="120" t="s">
        <v>330</v>
      </c>
      <c r="B80" s="20">
        <f>15561.94+17918.01</f>
        <v>33479.949999999997</v>
      </c>
      <c r="C80" s="117"/>
      <c r="D80" s="93"/>
    </row>
    <row r="81" spans="1:4" ht="15.75" x14ac:dyDescent="0.25">
      <c r="A81" s="120" t="s">
        <v>331</v>
      </c>
      <c r="B81" s="20">
        <f>[4]тарифы!D173*B13*1.12</f>
        <v>6471.5007321848734</v>
      </c>
      <c r="C81" s="108"/>
      <c r="D81" s="93"/>
    </row>
    <row r="82" spans="1:4" ht="15.75" x14ac:dyDescent="0.25">
      <c r="A82" s="121" t="s">
        <v>302</v>
      </c>
      <c r="B82" s="25">
        <f>B32+B42+B46+B66+B75+B77</f>
        <v>771364.36716369109</v>
      </c>
      <c r="C82" s="108"/>
      <c r="D82" s="93"/>
    </row>
    <row r="83" spans="1:4" ht="15.75" x14ac:dyDescent="0.25">
      <c r="A83" s="122" t="s">
        <v>303</v>
      </c>
      <c r="B83" s="20">
        <f>B82*0.03</f>
        <v>23140.931014910733</v>
      </c>
      <c r="C83" s="108"/>
      <c r="D83" s="93"/>
    </row>
    <row r="84" spans="1:4" s="103" customFormat="1" ht="15.75" x14ac:dyDescent="0.25">
      <c r="A84" s="123" t="s">
        <v>304</v>
      </c>
      <c r="B84" s="32">
        <f>B82+B83</f>
        <v>794505.29817860178</v>
      </c>
      <c r="C84" s="108"/>
      <c r="D84" s="93"/>
    </row>
    <row r="85" spans="1:4" ht="16.5" thickBot="1" x14ac:dyDescent="0.3">
      <c r="A85" s="124" t="s">
        <v>305</v>
      </c>
      <c r="B85" s="57">
        <f>B84*0.2</f>
        <v>158901.05963572036</v>
      </c>
      <c r="C85" s="108"/>
      <c r="D85" s="93"/>
    </row>
    <row r="86" spans="1:4" s="79" customFormat="1" ht="16.5" thickBot="1" x14ac:dyDescent="0.3">
      <c r="A86" s="125" t="s">
        <v>306</v>
      </c>
      <c r="B86" s="59">
        <f>B84+B85</f>
        <v>953406.35781432211</v>
      </c>
      <c r="C86" s="89"/>
      <c r="D86" s="126"/>
    </row>
    <row r="87" spans="1:4" s="79" customFormat="1" ht="16.5" thickBot="1" x14ac:dyDescent="0.3">
      <c r="A87" s="127" t="s">
        <v>307</v>
      </c>
      <c r="B87" s="296">
        <f>B10+B24+B26+B28+B29-B86</f>
        <v>408037.89218567789</v>
      </c>
      <c r="C87" s="128"/>
      <c r="D87" s="129"/>
    </row>
    <row r="88" spans="1:4" s="79" customFormat="1" ht="16.5" thickBot="1" x14ac:dyDescent="0.3">
      <c r="A88" s="130" t="s">
        <v>308</v>
      </c>
      <c r="B88" s="59">
        <f>B10+B25+B27+B28+B29-B86</f>
        <v>491863.64218567789</v>
      </c>
      <c r="C88" s="131"/>
      <c r="D88" s="129"/>
    </row>
    <row r="89" spans="1:4" s="79" customFormat="1" ht="16.5" hidden="1" thickBot="1" x14ac:dyDescent="0.3">
      <c r="A89" s="132" t="s">
        <v>309</v>
      </c>
      <c r="B89" s="66">
        <f>B11+B24-B25</f>
        <v>-83825.75</v>
      </c>
      <c r="C89" s="129"/>
      <c r="D89" s="129"/>
    </row>
    <row r="90" spans="1:4" s="79" customFormat="1" ht="15.75" x14ac:dyDescent="0.25">
      <c r="A90" s="133"/>
      <c r="B90" s="68"/>
      <c r="C90" s="129"/>
      <c r="D90" s="129"/>
    </row>
    <row r="91" spans="1:4" ht="15.75" x14ac:dyDescent="0.25">
      <c r="A91" s="134"/>
      <c r="B91" s="70"/>
      <c r="C91" s="77"/>
      <c r="D91" s="77"/>
    </row>
    <row r="92" spans="1:4" ht="15.75" x14ac:dyDescent="0.25">
      <c r="A92" s="323" t="s">
        <v>332</v>
      </c>
      <c r="B92" s="339"/>
      <c r="C92" s="77"/>
      <c r="D92" s="77"/>
    </row>
    <row r="93" spans="1:4" ht="15.75" x14ac:dyDescent="0.25">
      <c r="A93" s="134"/>
      <c r="B93" s="70"/>
      <c r="C93" s="77"/>
      <c r="D93" s="77"/>
    </row>
    <row r="94" spans="1:4" ht="15.75" hidden="1" x14ac:dyDescent="0.25">
      <c r="A94" s="324" t="s">
        <v>333</v>
      </c>
      <c r="B94" s="324"/>
      <c r="C94" s="135"/>
      <c r="D94" s="77"/>
    </row>
    <row r="95" spans="1:4" ht="15.75" x14ac:dyDescent="0.25">
      <c r="A95" s="77"/>
      <c r="B95" s="70"/>
      <c r="C95" s="77"/>
      <c r="D95" s="77"/>
    </row>
  </sheetData>
  <autoFilter ref="A31:G89" xr:uid="{00000000-0009-0000-0000-00000F000000}">
    <filterColumn colId="1">
      <filters>
        <filter val="11 127,26"/>
        <filter val="112 417,20"/>
        <filter val="12 064,45"/>
        <filter val="13 484,24"/>
        <filter val="139 580,88"/>
        <filter val="155 236,78"/>
        <filter val="16 371,44"/>
        <filter val="17 733,07"/>
        <filter val="178 615,26"/>
        <filter val="19 860,22"/>
        <filter val="23 587,19"/>
        <filter val="29 320,10"/>
        <filter val="3 293,31"/>
        <filter val="3 968,68"/>
        <filter val="30 726,68"/>
        <filter val="32 000,00"/>
        <filter val="38 382,27"/>
        <filter val="4 319,93"/>
        <filter val="4 984,57"/>
        <filter val="40 753,75"/>
        <filter val="426,50"/>
        <filter val="53 364,41"/>
        <filter val="545 714,58"/>
        <filter val="562 086,02"/>
        <filter val="6 094,51"/>
        <filter val="63 188,80"/>
        <filter val="64 418,87"/>
        <filter val="64 582,65"/>
        <filter val="65 336,28"/>
        <filter val="663 061,32"/>
        <filter val="674 503,22"/>
        <filter val="7 552,94"/>
        <filter val="7 890,24"/>
        <filter val="727 480,19"/>
        <filter val="9 660,62"/>
        <filter val="929,16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70866141732283472" right="0.70866141732283472" top="0.74803149606299213" bottom="0.74803149606299213" header="0.31496062992125984" footer="0.31496062992125984"/>
  <pageSetup paperSize="9" scale="72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filterMode="1">
    <pageSetUpPr fitToPage="1"/>
  </sheetPr>
  <dimension ref="A1:G95"/>
  <sheetViews>
    <sheetView view="pageBreakPreview" topLeftCell="A36" zoomScale="80" zoomScaleNormal="100" zoomScaleSheetLayoutView="80" workbookViewId="0">
      <selection activeCell="B66" sqref="B66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25" t="s">
        <v>224</v>
      </c>
      <c r="B1" s="314"/>
      <c r="C1" s="77"/>
      <c r="D1" s="77"/>
    </row>
    <row r="2" spans="1:4" ht="16.5" x14ac:dyDescent="0.25">
      <c r="A2" s="326" t="s">
        <v>225</v>
      </c>
      <c r="B2" s="316"/>
      <c r="C2" s="77"/>
      <c r="D2" s="77"/>
    </row>
    <row r="3" spans="1:4" ht="16.5" x14ac:dyDescent="0.25">
      <c r="A3" s="326" t="s">
        <v>226</v>
      </c>
      <c r="B3" s="316"/>
      <c r="C3" s="77"/>
      <c r="D3" s="77"/>
    </row>
    <row r="4" spans="1:4" ht="15.75" x14ac:dyDescent="0.25">
      <c r="A4" s="78" t="s">
        <v>516</v>
      </c>
      <c r="B4" s="5"/>
      <c r="C4" s="77"/>
      <c r="D4" s="77"/>
    </row>
    <row r="5" spans="1:4" ht="15.75" x14ac:dyDescent="0.25">
      <c r="A5" s="78" t="s">
        <v>33</v>
      </c>
      <c r="B5" s="6"/>
      <c r="C5" s="77"/>
      <c r="D5" s="77"/>
    </row>
    <row r="6" spans="1:4" ht="5.25" customHeight="1" x14ac:dyDescent="0.25">
      <c r="A6" s="78"/>
      <c r="B6" s="7"/>
      <c r="C6" s="79"/>
      <c r="D6" s="77"/>
    </row>
    <row r="7" spans="1:4" ht="16.5" thickBot="1" x14ac:dyDescent="0.3">
      <c r="A7" s="80"/>
      <c r="B7" s="7"/>
      <c r="C7" s="79"/>
      <c r="D7" s="77"/>
    </row>
    <row r="8" spans="1:4" ht="15.75" customHeight="1" x14ac:dyDescent="0.2">
      <c r="A8" s="327" t="s">
        <v>227</v>
      </c>
      <c r="B8" s="319" t="s">
        <v>228</v>
      </c>
      <c r="C8" s="331" t="s">
        <v>229</v>
      </c>
      <c r="D8" s="321" t="s">
        <v>230</v>
      </c>
    </row>
    <row r="9" spans="1:4" ht="28.5" customHeight="1" thickBot="1" x14ac:dyDescent="0.25">
      <c r="A9" s="328"/>
      <c r="B9" s="320"/>
      <c r="C9" s="332"/>
      <c r="D9" s="322"/>
    </row>
    <row r="10" spans="1:4" ht="16.5" thickBot="1" x14ac:dyDescent="0.25">
      <c r="A10" s="81" t="s">
        <v>231</v>
      </c>
      <c r="B10" s="302">
        <f>VLOOKUP(A5,мкд!S:T,2,FALSE)</f>
        <v>-474061.69</v>
      </c>
      <c r="C10" s="83"/>
      <c r="D10" s="84"/>
    </row>
    <row r="11" spans="1:4" ht="16.5" hidden="1" thickBot="1" x14ac:dyDescent="0.25">
      <c r="A11" s="85" t="s">
        <v>232</v>
      </c>
      <c r="B11" s="144"/>
      <c r="C11" s="84"/>
      <c r="D11" s="86"/>
    </row>
    <row r="12" spans="1:4" ht="16.5" thickBot="1" x14ac:dyDescent="0.3">
      <c r="A12" s="87" t="s">
        <v>233</v>
      </c>
      <c r="B12" s="88"/>
      <c r="C12" s="89" t="s">
        <v>234</v>
      </c>
      <c r="D12" s="90" t="s">
        <v>234</v>
      </c>
    </row>
    <row r="13" spans="1:4" ht="16.5" hidden="1" thickBot="1" x14ac:dyDescent="0.3">
      <c r="A13" s="91" t="s">
        <v>235</v>
      </c>
      <c r="B13" s="20">
        <v>3232.2</v>
      </c>
      <c r="C13" s="90" t="s">
        <v>234</v>
      </c>
      <c r="D13" s="92" t="s">
        <v>234</v>
      </c>
    </row>
    <row r="14" spans="1:4" ht="16.5" hidden="1" thickBot="1" x14ac:dyDescent="0.3">
      <c r="A14" s="91" t="s">
        <v>236</v>
      </c>
      <c r="B14" s="20">
        <v>0</v>
      </c>
      <c r="C14" s="93"/>
      <c r="D14" s="92"/>
    </row>
    <row r="15" spans="1:4" ht="15.75" x14ac:dyDescent="0.25">
      <c r="A15" s="91" t="s">
        <v>237</v>
      </c>
      <c r="B15" s="20">
        <f>B13+B14</f>
        <v>3232.2</v>
      </c>
      <c r="C15" s="94"/>
      <c r="D15" s="95"/>
    </row>
    <row r="16" spans="1:4" ht="16.5" thickBot="1" x14ac:dyDescent="0.3">
      <c r="A16" s="91" t="s">
        <v>238</v>
      </c>
      <c r="B16" s="20">
        <f>884.7+1839.9/3</f>
        <v>1498</v>
      </c>
      <c r="C16" s="96" t="s">
        <v>234</v>
      </c>
      <c r="D16" s="95" t="s">
        <v>234</v>
      </c>
    </row>
    <row r="17" spans="1:7" ht="16.5" hidden="1" thickBot="1" x14ac:dyDescent="0.3">
      <c r="A17" s="91" t="s">
        <v>239</v>
      </c>
      <c r="B17" s="145">
        <f>370.5+10.8</f>
        <v>381.3</v>
      </c>
      <c r="C17" s="90" t="s">
        <v>234</v>
      </c>
      <c r="D17" s="92" t="s">
        <v>234</v>
      </c>
      <c r="E17" s="77"/>
      <c r="F17" s="77"/>
      <c r="G17" s="77"/>
    </row>
    <row r="18" spans="1:7" ht="16.5" hidden="1" thickBot="1" x14ac:dyDescent="0.3">
      <c r="A18" s="91" t="s">
        <v>240</v>
      </c>
      <c r="B18" s="145">
        <v>906.1</v>
      </c>
      <c r="C18" s="95" t="s">
        <v>234</v>
      </c>
      <c r="D18" s="92" t="s">
        <v>234</v>
      </c>
      <c r="E18" s="77"/>
      <c r="F18" s="77"/>
      <c r="G18" s="77"/>
    </row>
    <row r="19" spans="1:7" ht="16.5" hidden="1" thickBot="1" x14ac:dyDescent="0.3">
      <c r="A19" s="91" t="s">
        <v>241</v>
      </c>
      <c r="B19" s="145">
        <v>0</v>
      </c>
      <c r="C19" s="95" t="s">
        <v>234</v>
      </c>
      <c r="D19" s="92" t="s">
        <v>234</v>
      </c>
      <c r="E19" s="77"/>
      <c r="F19" s="77"/>
      <c r="G19" s="77"/>
    </row>
    <row r="20" spans="1:7" ht="16.5" hidden="1" thickBot="1" x14ac:dyDescent="0.3">
      <c r="A20" s="91" t="s">
        <v>242</v>
      </c>
      <c r="B20" s="145">
        <v>1052</v>
      </c>
      <c r="C20" s="95"/>
      <c r="D20" s="92"/>
      <c r="E20" s="77"/>
      <c r="F20" s="77"/>
      <c r="G20" s="77"/>
    </row>
    <row r="21" spans="1:7" ht="16.5" hidden="1" thickBot="1" x14ac:dyDescent="0.3">
      <c r="A21" s="91" t="s">
        <v>243</v>
      </c>
      <c r="B21" s="145">
        <v>0</v>
      </c>
      <c r="C21" s="95" t="s">
        <v>234</v>
      </c>
      <c r="D21" s="92" t="s">
        <v>234</v>
      </c>
      <c r="E21" s="77"/>
      <c r="F21" s="77"/>
      <c r="G21" s="77"/>
    </row>
    <row r="22" spans="1:7" ht="16.5" hidden="1" thickBot="1" x14ac:dyDescent="0.3">
      <c r="A22" s="91" t="s">
        <v>244</v>
      </c>
      <c r="B22" s="145">
        <v>171</v>
      </c>
      <c r="C22" s="93"/>
      <c r="D22" s="92"/>
      <c r="E22" s="77"/>
      <c r="F22" s="77"/>
      <c r="G22" s="77"/>
    </row>
    <row r="23" spans="1:7" ht="15.75" x14ac:dyDescent="0.25">
      <c r="A23" s="91"/>
      <c r="B23" s="20"/>
      <c r="C23" s="94"/>
      <c r="D23" s="95"/>
      <c r="E23" s="77">
        <v>10</v>
      </c>
      <c r="F23" s="77">
        <v>2</v>
      </c>
      <c r="G23" s="77"/>
    </row>
    <row r="24" spans="1:7" ht="15.75" x14ac:dyDescent="0.25">
      <c r="A24" s="97" t="s">
        <v>319</v>
      </c>
      <c r="B24" s="25">
        <f>VLOOKUP(A5,[1]Лист1!M$1:N$65536,2,FALSE)</f>
        <v>712075.84</v>
      </c>
      <c r="C24" s="92"/>
      <c r="D24" s="95"/>
      <c r="E24" s="26">
        <v>18</v>
      </c>
      <c r="F24" s="27">
        <v>20.1492</v>
      </c>
      <c r="G24" s="77"/>
    </row>
    <row r="25" spans="1:7" ht="16.5" thickBot="1" x14ac:dyDescent="0.3">
      <c r="A25" s="97" t="s">
        <v>320</v>
      </c>
      <c r="B25" s="25">
        <f>VLOOKUP(A5,[1]Лист1!M$1:O$65536,3,FALSE)</f>
        <v>675188.72</v>
      </c>
      <c r="C25" s="96"/>
      <c r="D25" s="95"/>
      <c r="E25" s="77"/>
      <c r="F25" s="77"/>
      <c r="G25" s="77"/>
    </row>
    <row r="26" spans="1:7" ht="16.5" hidden="1" thickBot="1" x14ac:dyDescent="0.3">
      <c r="A26" s="97" t="s">
        <v>321</v>
      </c>
      <c r="B26" s="146"/>
      <c r="C26" s="90"/>
      <c r="D26" s="92"/>
      <c r="E26" s="77"/>
      <c r="F26" s="77"/>
      <c r="G26" s="77"/>
    </row>
    <row r="27" spans="1:7" ht="16.5" hidden="1" thickBot="1" x14ac:dyDescent="0.3">
      <c r="A27" s="97" t="s">
        <v>248</v>
      </c>
      <c r="B27" s="146">
        <f>B26</f>
        <v>0</v>
      </c>
      <c r="C27" s="93"/>
      <c r="D27" s="92"/>
      <c r="E27" s="77"/>
      <c r="F27" s="77"/>
      <c r="G27" s="77"/>
    </row>
    <row r="28" spans="1:7" ht="16.5" hidden="1" thickBot="1" x14ac:dyDescent="0.3">
      <c r="A28" s="97" t="s">
        <v>249</v>
      </c>
      <c r="B28" s="25"/>
      <c r="C28" s="89"/>
      <c r="D28" s="95"/>
      <c r="E28" s="77"/>
      <c r="F28" s="77"/>
      <c r="G28" s="77"/>
    </row>
    <row r="29" spans="1:7" ht="16.5" hidden="1" thickBot="1" x14ac:dyDescent="0.3">
      <c r="A29" s="97" t="s">
        <v>250</v>
      </c>
      <c r="B29" s="146"/>
      <c r="C29" s="98"/>
      <c r="D29" s="92"/>
      <c r="E29" s="77"/>
      <c r="F29" s="77"/>
      <c r="G29" s="77"/>
    </row>
    <row r="30" spans="1:7" ht="15.75" x14ac:dyDescent="0.25">
      <c r="A30" s="99"/>
      <c r="B30" s="20"/>
      <c r="C30" s="94"/>
      <c r="D30" s="95"/>
      <c r="E30" s="77"/>
      <c r="F30" s="77"/>
      <c r="G30" s="77"/>
    </row>
    <row r="31" spans="1:7" ht="15.75" x14ac:dyDescent="0.25">
      <c r="A31" s="100" t="s">
        <v>251</v>
      </c>
      <c r="B31" s="20"/>
      <c r="C31" s="92"/>
      <c r="D31" s="95"/>
      <c r="E31" s="77"/>
      <c r="F31" s="77"/>
      <c r="G31" s="77"/>
    </row>
    <row r="32" spans="1:7" s="103" customFormat="1" ht="31.5" x14ac:dyDescent="0.25">
      <c r="A32" s="101" t="s">
        <v>252</v>
      </c>
      <c r="B32" s="32">
        <f>SUM(B33:B41)</f>
        <v>68409.34</v>
      </c>
      <c r="C32" s="92"/>
      <c r="D32" s="95"/>
      <c r="E32" s="102">
        <f>(B86-B26-B24)/1.2/1.03</f>
        <v>72227.852586702298</v>
      </c>
      <c r="F32" s="102" t="e">
        <f>(#REF!-#REF!-#REF!)/1.2/1.03</f>
        <v>#REF!</v>
      </c>
      <c r="G32" s="102" t="e">
        <f>(#REF!-#REF!-#REF!)/1.2/1.03</f>
        <v>#REF!</v>
      </c>
    </row>
    <row r="33" spans="1:7" ht="16.5" thickBot="1" x14ac:dyDescent="0.3">
      <c r="A33" s="104" t="s">
        <v>253</v>
      </c>
      <c r="B33" s="20">
        <f>31000*1.12</f>
        <v>34720</v>
      </c>
      <c r="C33" s="96"/>
      <c r="D33" s="95">
        <v>21557.8</v>
      </c>
      <c r="E33" s="77"/>
      <c r="F33" s="77"/>
      <c r="G33" s="77"/>
    </row>
    <row r="34" spans="1:7" ht="15.75" hidden="1" x14ac:dyDescent="0.25">
      <c r="A34" s="104" t="s">
        <v>342</v>
      </c>
      <c r="B34" s="20"/>
      <c r="C34" s="90"/>
      <c r="D34" s="92">
        <v>0</v>
      </c>
      <c r="E34" s="77"/>
      <c r="F34" s="77"/>
      <c r="G34" s="77"/>
    </row>
    <row r="35" spans="1:7" ht="15.75" hidden="1" x14ac:dyDescent="0.25">
      <c r="A35" s="104" t="s">
        <v>256</v>
      </c>
      <c r="B35" s="20"/>
      <c r="C35" s="95"/>
      <c r="D35" s="92">
        <v>0</v>
      </c>
      <c r="E35" s="77"/>
      <c r="F35" s="77"/>
      <c r="G35" s="77"/>
    </row>
    <row r="36" spans="1:7" ht="15.75" x14ac:dyDescent="0.25">
      <c r="A36" s="104" t="s">
        <v>255</v>
      </c>
      <c r="B36" s="20">
        <v>30692</v>
      </c>
      <c r="C36" s="95" t="s">
        <v>234</v>
      </c>
      <c r="D36" s="92">
        <v>0</v>
      </c>
      <c r="E36" s="77"/>
      <c r="F36" s="77"/>
      <c r="G36" s="77"/>
    </row>
    <row r="37" spans="1:7" ht="16.5" thickBot="1" x14ac:dyDescent="0.3">
      <c r="A37" s="138" t="s">
        <v>349</v>
      </c>
      <c r="B37" s="139">
        <v>2997.34</v>
      </c>
      <c r="C37" s="95"/>
      <c r="D37" s="92">
        <v>0</v>
      </c>
      <c r="E37" s="77"/>
      <c r="F37" s="77"/>
      <c r="G37" s="77"/>
    </row>
    <row r="38" spans="1:7" ht="16.5" hidden="1" thickBot="1" x14ac:dyDescent="0.3">
      <c r="A38" s="104" t="s">
        <v>258</v>
      </c>
      <c r="B38" s="147">
        <v>0</v>
      </c>
      <c r="C38" s="95"/>
      <c r="D38" s="92">
        <v>0</v>
      </c>
      <c r="E38" s="77"/>
      <c r="F38" s="77"/>
      <c r="G38" s="77"/>
    </row>
    <row r="39" spans="1:7" ht="16.5" hidden="1" thickBot="1" x14ac:dyDescent="0.3">
      <c r="A39" s="104" t="s">
        <v>324</v>
      </c>
      <c r="B39" s="147">
        <v>0</v>
      </c>
      <c r="C39" s="95"/>
      <c r="D39" s="92">
        <v>0</v>
      </c>
      <c r="E39" s="77"/>
      <c r="F39" s="77"/>
      <c r="G39" s="77"/>
    </row>
    <row r="40" spans="1:7" ht="16.5" hidden="1" thickBot="1" x14ac:dyDescent="0.3">
      <c r="A40" s="104" t="s">
        <v>312</v>
      </c>
      <c r="B40" s="147">
        <v>0</v>
      </c>
      <c r="C40" s="95"/>
      <c r="D40" s="92"/>
      <c r="E40" s="77"/>
      <c r="F40" s="77"/>
      <c r="G40" s="77"/>
    </row>
    <row r="41" spans="1:7" ht="16.5" hidden="1" thickBot="1" x14ac:dyDescent="0.3">
      <c r="A41" s="104" t="s">
        <v>343</v>
      </c>
      <c r="B41" s="147">
        <v>0</v>
      </c>
      <c r="C41" s="93"/>
      <c r="D41" s="92"/>
      <c r="E41" s="77"/>
      <c r="F41" s="77"/>
      <c r="G41" s="77"/>
    </row>
    <row r="42" spans="1:7" s="103" customFormat="1" ht="48" thickBot="1" x14ac:dyDescent="0.3">
      <c r="A42" s="101" t="s">
        <v>325</v>
      </c>
      <c r="B42" s="32">
        <f>SUM(B43:B45)</f>
        <v>21393.363733412782</v>
      </c>
      <c r="C42" s="89"/>
      <c r="D42" s="95"/>
      <c r="E42" s="102"/>
      <c r="F42" s="102"/>
      <c r="G42" s="102"/>
    </row>
    <row r="43" spans="1:7" ht="15.75" x14ac:dyDescent="0.25">
      <c r="A43" s="104" t="s">
        <v>262</v>
      </c>
      <c r="B43" s="20">
        <v>3050.46</v>
      </c>
      <c r="C43" s="98"/>
      <c r="D43" s="108"/>
      <c r="E43" s="77"/>
      <c r="F43" s="77"/>
      <c r="G43" s="77"/>
    </row>
    <row r="44" spans="1:7" ht="15.75" x14ac:dyDescent="0.25">
      <c r="A44" s="104" t="s">
        <v>263</v>
      </c>
      <c r="B44" s="20">
        <v>794</v>
      </c>
      <c r="C44" s="93"/>
      <c r="D44" s="108"/>
      <c r="E44" s="77"/>
      <c r="F44" s="77"/>
      <c r="G44" s="77"/>
    </row>
    <row r="45" spans="1:7" ht="16.5" thickBot="1" x14ac:dyDescent="0.3">
      <c r="A45" s="109" t="s">
        <v>264</v>
      </c>
      <c r="B45" s="20">
        <f>[4]тарифы!D163*B15+357.66*1.12</f>
        <v>17548.903733412782</v>
      </c>
      <c r="C45" s="93"/>
      <c r="D45" s="108"/>
      <c r="E45" s="77"/>
      <c r="F45" s="77"/>
      <c r="G45" s="77"/>
    </row>
    <row r="46" spans="1:7" s="79" customFormat="1" ht="16.5" thickBot="1" x14ac:dyDescent="0.3">
      <c r="A46" s="101" t="s">
        <v>265</v>
      </c>
      <c r="B46" s="32">
        <f>SUM(B47:B65)</f>
        <v>130062.89000000001</v>
      </c>
      <c r="C46" s="89"/>
      <c r="D46" s="95"/>
    </row>
    <row r="47" spans="1:7" ht="15.75" x14ac:dyDescent="0.25">
      <c r="A47" s="104" t="s">
        <v>326</v>
      </c>
      <c r="B47" s="20">
        <v>3805.68</v>
      </c>
      <c r="C47" s="90"/>
      <c r="D47" s="92"/>
      <c r="E47" s="77" t="s">
        <v>267</v>
      </c>
      <c r="F47" s="77"/>
      <c r="G47" s="77"/>
    </row>
    <row r="48" spans="1:7" ht="15.75" x14ac:dyDescent="0.25">
      <c r="A48" s="104" t="s">
        <v>317</v>
      </c>
      <c r="B48" s="145">
        <v>4621.1400000000003</v>
      </c>
      <c r="C48" s="95"/>
      <c r="D48" s="92"/>
      <c r="E48" s="77" t="s">
        <v>269</v>
      </c>
      <c r="F48" s="77"/>
      <c r="G48" s="77"/>
    </row>
    <row r="49" spans="1:4" ht="15.75" hidden="1" x14ac:dyDescent="0.25">
      <c r="A49" s="110" t="s">
        <v>270</v>
      </c>
      <c r="B49" s="145">
        <v>0</v>
      </c>
      <c r="C49" s="95"/>
      <c r="D49" s="92"/>
    </row>
    <row r="50" spans="1:4" ht="15.75" hidden="1" x14ac:dyDescent="0.25">
      <c r="A50" s="110" t="s">
        <v>271</v>
      </c>
      <c r="B50" s="145">
        <v>0</v>
      </c>
      <c r="C50" s="95"/>
      <c r="D50" s="92">
        <v>4190</v>
      </c>
    </row>
    <row r="51" spans="1:4" ht="15" customHeight="1" x14ac:dyDescent="0.25">
      <c r="A51" s="110" t="s">
        <v>542</v>
      </c>
      <c r="B51" s="145">
        <v>4200</v>
      </c>
      <c r="C51" s="95"/>
      <c r="D51" s="92"/>
    </row>
    <row r="52" spans="1:4" ht="17.25" customHeight="1" x14ac:dyDescent="0.25">
      <c r="A52" s="110" t="s">
        <v>540</v>
      </c>
      <c r="B52" s="145">
        <v>16839.419999999998</v>
      </c>
      <c r="C52" s="95"/>
      <c r="D52" s="92">
        <v>105.14</v>
      </c>
    </row>
    <row r="53" spans="1:4" ht="15.75" x14ac:dyDescent="0.25">
      <c r="A53" s="110" t="s">
        <v>274</v>
      </c>
      <c r="B53" s="20">
        <v>24000</v>
      </c>
      <c r="C53" s="95">
        <v>1</v>
      </c>
      <c r="D53" s="92">
        <v>522.99</v>
      </c>
    </row>
    <row r="54" spans="1:4" ht="15.75" x14ac:dyDescent="0.25">
      <c r="A54" s="143" t="s">
        <v>344</v>
      </c>
      <c r="B54" s="20">
        <v>8133.61</v>
      </c>
      <c r="C54" s="95">
        <v>1</v>
      </c>
      <c r="D54" s="111">
        <v>657.53</v>
      </c>
    </row>
    <row r="55" spans="1:4" ht="15" customHeight="1" x14ac:dyDescent="0.25">
      <c r="A55" s="110" t="s">
        <v>348</v>
      </c>
      <c r="B55" s="145">
        <v>5000</v>
      </c>
      <c r="C55" s="95"/>
      <c r="D55" s="111"/>
    </row>
    <row r="56" spans="1:4" ht="15.75" x14ac:dyDescent="0.25">
      <c r="A56" s="110" t="s">
        <v>541</v>
      </c>
      <c r="B56" s="145">
        <v>39000</v>
      </c>
      <c r="C56" s="95">
        <v>0</v>
      </c>
      <c r="D56" s="92">
        <f>10695.76/1.18</f>
        <v>9064.203389830509</v>
      </c>
    </row>
    <row r="57" spans="1:4" ht="15.75" hidden="1" x14ac:dyDescent="0.25">
      <c r="A57" s="110" t="s">
        <v>350</v>
      </c>
      <c r="B57" s="145">
        <v>0</v>
      </c>
      <c r="C57" s="95">
        <v>0</v>
      </c>
      <c r="D57" s="92">
        <f>2300/1.18</f>
        <v>1949.1525423728815</v>
      </c>
    </row>
    <row r="58" spans="1:4" ht="15.75" hidden="1" x14ac:dyDescent="0.25">
      <c r="A58" s="110" t="s">
        <v>351</v>
      </c>
      <c r="B58" s="145"/>
      <c r="C58" s="93">
        <v>0</v>
      </c>
      <c r="D58" s="92">
        <v>0</v>
      </c>
    </row>
    <row r="59" spans="1:4" ht="16.5" hidden="1" thickBot="1" x14ac:dyDescent="0.3">
      <c r="A59" s="110" t="s">
        <v>279</v>
      </c>
      <c r="B59" s="20"/>
      <c r="C59" s="89"/>
      <c r="D59" s="95"/>
    </row>
    <row r="60" spans="1:4" ht="15.75" hidden="1" x14ac:dyDescent="0.25">
      <c r="A60" s="104" t="s">
        <v>280</v>
      </c>
      <c r="B60" s="145">
        <v>0</v>
      </c>
      <c r="C60" s="90"/>
      <c r="D60" s="92"/>
    </row>
    <row r="61" spans="1:4" ht="15.75" hidden="1" x14ac:dyDescent="0.25">
      <c r="A61" s="104" t="s">
        <v>281</v>
      </c>
      <c r="B61" s="145">
        <v>0</v>
      </c>
      <c r="C61" s="95"/>
      <c r="D61" s="92">
        <v>0</v>
      </c>
    </row>
    <row r="62" spans="1:4" ht="15.75" customHeight="1" x14ac:dyDescent="0.25">
      <c r="A62" s="104" t="s">
        <v>362</v>
      </c>
      <c r="B62" s="145">
        <f>331.5+2501.33</f>
        <v>2832.83</v>
      </c>
      <c r="C62" s="95"/>
      <c r="D62" s="92">
        <v>0</v>
      </c>
    </row>
    <row r="63" spans="1:4" ht="16.5" thickBot="1" x14ac:dyDescent="0.3">
      <c r="A63" s="104" t="s">
        <v>283</v>
      </c>
      <c r="B63" s="112">
        <f>5396.41+16233.8</f>
        <v>21630.21</v>
      </c>
      <c r="C63" s="113">
        <v>1</v>
      </c>
      <c r="D63" s="92">
        <v>0</v>
      </c>
    </row>
    <row r="64" spans="1:4" ht="16.5" hidden="1" thickBot="1" x14ac:dyDescent="0.3">
      <c r="A64" s="104" t="s">
        <v>284</v>
      </c>
      <c r="B64" s="112">
        <v>0</v>
      </c>
      <c r="C64" s="114">
        <v>70</v>
      </c>
      <c r="D64" s="95">
        <v>2</v>
      </c>
    </row>
    <row r="65" spans="1:4" s="79" customFormat="1" ht="16.5" hidden="1" thickBot="1" x14ac:dyDescent="0.3">
      <c r="A65" s="104" t="s">
        <v>285</v>
      </c>
      <c r="B65" s="148">
        <v>0</v>
      </c>
      <c r="C65" s="115">
        <v>70</v>
      </c>
      <c r="D65" s="108">
        <v>560</v>
      </c>
    </row>
    <row r="66" spans="1:4" s="79" customFormat="1" ht="16.5" thickBot="1" x14ac:dyDescent="0.3">
      <c r="A66" s="116" t="s">
        <v>286</v>
      </c>
      <c r="B66" s="32">
        <f>SUM(B67:B74)</f>
        <v>196935.3860463193</v>
      </c>
      <c r="C66" s="89"/>
      <c r="D66" s="93"/>
    </row>
    <row r="67" spans="1:4" ht="16.5" hidden="1" thickBot="1" x14ac:dyDescent="0.3">
      <c r="A67" s="104" t="s">
        <v>287</v>
      </c>
      <c r="B67" s="145">
        <v>0</v>
      </c>
      <c r="C67" s="98"/>
      <c r="D67" s="108"/>
    </row>
    <row r="68" spans="1:4" ht="16.5" thickBot="1" x14ac:dyDescent="0.3">
      <c r="A68" s="104" t="s">
        <v>288</v>
      </c>
      <c r="B68" s="20">
        <f>54406*1.04*1.12</f>
        <v>63372.108800000009</v>
      </c>
      <c r="C68" s="89"/>
      <c r="D68" s="93"/>
    </row>
    <row r="69" spans="1:4" ht="15.75" hidden="1" x14ac:dyDescent="0.25">
      <c r="A69" s="104" t="s">
        <v>289</v>
      </c>
      <c r="B69" s="145">
        <v>0</v>
      </c>
      <c r="C69" s="98"/>
      <c r="D69" s="108"/>
    </row>
    <row r="70" spans="1:4" ht="16.5" thickBot="1" x14ac:dyDescent="0.3">
      <c r="A70" s="109" t="s">
        <v>290</v>
      </c>
      <c r="B70" s="20">
        <f>[4]тарифы!D164*B13*1.12</f>
        <v>3991.0196463192583</v>
      </c>
      <c r="C70" s="93"/>
      <c r="D70" s="108"/>
    </row>
    <row r="71" spans="1:4" ht="15.75" x14ac:dyDescent="0.25">
      <c r="A71" s="109" t="s">
        <v>291</v>
      </c>
      <c r="B71" s="20">
        <v>25632</v>
      </c>
      <c r="C71" s="117"/>
      <c r="D71" s="93"/>
    </row>
    <row r="72" spans="1:4" ht="15.75" x14ac:dyDescent="0.25">
      <c r="A72" s="109" t="s">
        <v>292</v>
      </c>
      <c r="B72" s="20">
        <f>33011*1.04*1.12</f>
        <v>38451.212800000008</v>
      </c>
      <c r="C72" s="108"/>
      <c r="D72" s="93"/>
    </row>
    <row r="73" spans="1:4" ht="15.75" x14ac:dyDescent="0.25">
      <c r="A73" s="41" t="s">
        <v>293</v>
      </c>
      <c r="B73" s="20">
        <f>5601*1.04*1.12</f>
        <v>6524.0448000000006</v>
      </c>
      <c r="C73" s="108"/>
      <c r="D73" s="93"/>
    </row>
    <row r="74" spans="1:4" ht="15.75" x14ac:dyDescent="0.25">
      <c r="A74" s="109" t="s">
        <v>294</v>
      </c>
      <c r="B74" s="20">
        <v>58965</v>
      </c>
      <c r="C74" s="108"/>
      <c r="D74" s="93"/>
    </row>
    <row r="75" spans="1:4" ht="47.25" x14ac:dyDescent="0.25">
      <c r="A75" s="118" t="s">
        <v>328</v>
      </c>
      <c r="B75" s="32">
        <f>SUM(B76:B76)</f>
        <v>129632</v>
      </c>
      <c r="C75" s="108"/>
      <c r="D75" s="93"/>
    </row>
    <row r="76" spans="1:4" ht="15.75" x14ac:dyDescent="0.25">
      <c r="A76" s="109" t="s">
        <v>296</v>
      </c>
      <c r="B76" s="20">
        <v>129632</v>
      </c>
      <c r="C76" s="108"/>
      <c r="D76" s="93"/>
    </row>
    <row r="77" spans="1:4" s="79" customFormat="1" ht="15.75" x14ac:dyDescent="0.25">
      <c r="A77" s="116" t="s">
        <v>297</v>
      </c>
      <c r="B77" s="32">
        <f>SUM(B78:B81)</f>
        <v>101908.01196554617</v>
      </c>
      <c r="C77" s="108"/>
      <c r="D77" s="93"/>
    </row>
    <row r="78" spans="1:4" ht="32.25" thickBot="1" x14ac:dyDescent="0.3">
      <c r="A78" s="119" t="s">
        <v>329</v>
      </c>
      <c r="B78" s="20">
        <v>85321</v>
      </c>
      <c r="C78" s="96"/>
      <c r="D78" s="93"/>
    </row>
    <row r="79" spans="1:4" ht="16.5" hidden="1" thickBot="1" x14ac:dyDescent="0.3">
      <c r="A79" s="51" t="s">
        <v>299</v>
      </c>
      <c r="B79" s="20">
        <f>(B26/1.2)*30%</f>
        <v>0</v>
      </c>
      <c r="C79" s="98"/>
      <c r="D79" s="108"/>
    </row>
    <row r="80" spans="1:4" ht="15.75" x14ac:dyDescent="0.25">
      <c r="A80" s="120" t="s">
        <v>330</v>
      </c>
      <c r="B80" s="20">
        <f>9481.99</f>
        <v>9481.99</v>
      </c>
      <c r="C80" s="117"/>
      <c r="D80" s="93"/>
    </row>
    <row r="81" spans="1:4" ht="15.75" x14ac:dyDescent="0.25">
      <c r="A81" s="120" t="s">
        <v>331</v>
      </c>
      <c r="B81" s="20">
        <f>[4]тарифы!D173*B13*1.12</f>
        <v>7105.0219655461769</v>
      </c>
      <c r="C81" s="108"/>
      <c r="D81" s="93"/>
    </row>
    <row r="82" spans="1:4" ht="15.75" x14ac:dyDescent="0.25">
      <c r="A82" s="121" t="s">
        <v>302</v>
      </c>
      <c r="B82" s="25">
        <f>B32+B42+B46+B66+B75+B77</f>
        <v>648340.99174527824</v>
      </c>
      <c r="C82" s="108"/>
      <c r="D82" s="93"/>
    </row>
    <row r="83" spans="1:4" ht="15.75" x14ac:dyDescent="0.25">
      <c r="A83" s="122" t="s">
        <v>303</v>
      </c>
      <c r="B83" s="20">
        <f>B82*0.03</f>
        <v>19450.229752358347</v>
      </c>
      <c r="C83" s="108"/>
      <c r="D83" s="93"/>
    </row>
    <row r="84" spans="1:4" s="103" customFormat="1" ht="15.75" x14ac:dyDescent="0.25">
      <c r="A84" s="123" t="s">
        <v>304</v>
      </c>
      <c r="B84" s="32">
        <f>B82+B83</f>
        <v>667791.22149763664</v>
      </c>
      <c r="C84" s="108"/>
      <c r="D84" s="93"/>
    </row>
    <row r="85" spans="1:4" ht="16.5" thickBot="1" x14ac:dyDescent="0.3">
      <c r="A85" s="124" t="s">
        <v>305</v>
      </c>
      <c r="B85" s="57">
        <f>B84*0.2</f>
        <v>133558.24429952734</v>
      </c>
      <c r="C85" s="108"/>
      <c r="D85" s="93"/>
    </row>
    <row r="86" spans="1:4" s="79" customFormat="1" ht="16.5" thickBot="1" x14ac:dyDescent="0.3">
      <c r="A86" s="125" t="s">
        <v>306</v>
      </c>
      <c r="B86" s="59">
        <f>B84+B85</f>
        <v>801349.46579716401</v>
      </c>
      <c r="C86" s="89"/>
      <c r="D86" s="126"/>
    </row>
    <row r="87" spans="1:4" s="79" customFormat="1" ht="16.5" thickBot="1" x14ac:dyDescent="0.3">
      <c r="A87" s="127" t="s">
        <v>307</v>
      </c>
      <c r="B87" s="296">
        <f>B10+B24+B26+B28+B29-B86</f>
        <v>-563335.3157971641</v>
      </c>
      <c r="C87" s="128"/>
      <c r="D87" s="129"/>
    </row>
    <row r="88" spans="1:4" s="79" customFormat="1" ht="16.5" thickBot="1" x14ac:dyDescent="0.3">
      <c r="A88" s="130" t="s">
        <v>308</v>
      </c>
      <c r="B88" s="59">
        <f>B10+B25+B27+B28+B29-B86</f>
        <v>-600222.43579716398</v>
      </c>
      <c r="C88" s="131"/>
      <c r="D88" s="129"/>
    </row>
    <row r="89" spans="1:4" s="79" customFormat="1" ht="16.5" hidden="1" thickBot="1" x14ac:dyDescent="0.3">
      <c r="A89" s="132" t="s">
        <v>309</v>
      </c>
      <c r="B89" s="59">
        <f>B11+B24-B25</f>
        <v>36887.119999999995</v>
      </c>
      <c r="C89" s="129"/>
      <c r="D89" s="129"/>
    </row>
    <row r="90" spans="1:4" s="79" customFormat="1" ht="15.75" x14ac:dyDescent="0.25">
      <c r="A90" s="133"/>
      <c r="B90" s="68"/>
      <c r="C90" s="129"/>
      <c r="D90" s="129"/>
    </row>
    <row r="91" spans="1:4" ht="15.75" x14ac:dyDescent="0.25">
      <c r="A91" s="134"/>
      <c r="B91" s="70"/>
      <c r="C91" s="77"/>
      <c r="D91" s="77"/>
    </row>
    <row r="92" spans="1:4" ht="15.75" x14ac:dyDescent="0.25">
      <c r="A92" s="323" t="s">
        <v>332</v>
      </c>
      <c r="B92" s="310"/>
      <c r="C92" s="77"/>
      <c r="D92" s="77"/>
    </row>
    <row r="93" spans="1:4" ht="15.75" x14ac:dyDescent="0.25">
      <c r="A93" s="134"/>
      <c r="B93" s="70"/>
      <c r="C93" s="77"/>
      <c r="D93" s="77"/>
    </row>
    <row r="94" spans="1:4" ht="15.75" hidden="1" x14ac:dyDescent="0.25">
      <c r="A94" s="324" t="s">
        <v>333</v>
      </c>
      <c r="B94" s="324"/>
      <c r="C94" s="135"/>
      <c r="D94" s="77"/>
    </row>
    <row r="95" spans="1:4" ht="15.75" x14ac:dyDescent="0.25">
      <c r="A95" s="77"/>
      <c r="B95" s="70"/>
      <c r="C95" s="77"/>
      <c r="D95" s="77"/>
    </row>
  </sheetData>
  <autoFilter ref="A31:G89" xr:uid="{00000000-0009-0000-0000-000010000000}">
    <filterColumn colId="1">
      <filters>
        <filter val="1 579,35"/>
        <filter val="10 606,33"/>
        <filter val="11 677,05"/>
        <filter val="11 848,80"/>
        <filter val="-120 724,84"/>
        <filter val="-132 573,64"/>
        <filter val="15 347,61"/>
        <filter val="153 107,69"/>
        <filter val="19 531,22"/>
        <filter val="27 858,57"/>
        <filter val="3 615,70"/>
        <filter val="30 364,75"/>
        <filter val="32 190,36"/>
        <filter val="34 138,05"/>
        <filter val="36 458,18"/>
        <filter val="389 234,99"/>
        <filter val="4 357,19"/>
        <filter val="400 912,04"/>
        <filter val="42 139,67"/>
        <filter val="44 743,30"/>
        <filter val="48 947,52"/>
        <filter val="481 094,45"/>
        <filter val="5 472,52"/>
        <filter val="54 406,47"/>
        <filter val="58 223,32"/>
        <filter val="58 360,23"/>
        <filter val="6 129,20"/>
        <filter val="6 276,00"/>
        <filter val="7 890,36"/>
        <filter val="8 292,33"/>
        <filter val="80 182,41"/>
        <filter val="9 259,74"/>
        <filter val="9 275,39"/>
        <filter val="951,40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70866141732283472" right="0.70866141732283472" top="0.74803149606299213" bottom="0.74803149606299213" header="0.31496062992125984" footer="0.31496062992125984"/>
  <pageSetup paperSize="9" scale="68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filterMode="1">
    <pageSetUpPr fitToPage="1"/>
  </sheetPr>
  <dimension ref="A1:G95"/>
  <sheetViews>
    <sheetView view="pageBreakPreview" topLeftCell="A45" zoomScale="80" zoomScaleNormal="100" zoomScaleSheetLayoutView="80" workbookViewId="0">
      <selection activeCell="B81" sqref="B81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25" t="s">
        <v>224</v>
      </c>
      <c r="B1" s="340"/>
      <c r="C1" s="77"/>
      <c r="D1" s="77"/>
    </row>
    <row r="2" spans="1:4" ht="16.5" x14ac:dyDescent="0.25">
      <c r="A2" s="326" t="s">
        <v>225</v>
      </c>
      <c r="B2" s="341"/>
      <c r="C2" s="77"/>
      <c r="D2" s="77"/>
    </row>
    <row r="3" spans="1:4" ht="16.5" x14ac:dyDescent="0.25">
      <c r="A3" s="326" t="s">
        <v>226</v>
      </c>
      <c r="B3" s="341"/>
      <c r="C3" s="77"/>
      <c r="D3" s="77"/>
    </row>
    <row r="4" spans="1:4" ht="15.75" x14ac:dyDescent="0.25">
      <c r="A4" s="78" t="s">
        <v>516</v>
      </c>
      <c r="B4" s="136"/>
      <c r="C4" s="77"/>
      <c r="D4" s="77"/>
    </row>
    <row r="5" spans="1:4" ht="15.75" x14ac:dyDescent="0.25">
      <c r="A5" s="78" t="s">
        <v>34</v>
      </c>
      <c r="B5" s="137"/>
      <c r="C5" s="77"/>
      <c r="D5" s="77"/>
    </row>
    <row r="6" spans="1:4" ht="5.25" customHeight="1" x14ac:dyDescent="0.25">
      <c r="A6" s="78"/>
      <c r="B6" s="7"/>
      <c r="C6" s="79"/>
      <c r="D6" s="77"/>
    </row>
    <row r="7" spans="1:4" ht="16.5" thickBot="1" x14ac:dyDescent="0.3">
      <c r="A7" s="80"/>
      <c r="B7" s="7"/>
      <c r="C7" s="79"/>
      <c r="D7" s="77"/>
    </row>
    <row r="8" spans="1:4" ht="15.75" customHeight="1" x14ac:dyDescent="0.2">
      <c r="A8" s="327" t="s">
        <v>227</v>
      </c>
      <c r="B8" s="319" t="s">
        <v>228</v>
      </c>
      <c r="C8" s="331" t="s">
        <v>229</v>
      </c>
      <c r="D8" s="321" t="s">
        <v>230</v>
      </c>
    </row>
    <row r="9" spans="1:4" ht="28.5" customHeight="1" thickBot="1" x14ac:dyDescent="0.25">
      <c r="A9" s="328"/>
      <c r="B9" s="320"/>
      <c r="C9" s="332"/>
      <c r="D9" s="322"/>
    </row>
    <row r="10" spans="1:4" ht="16.5" thickBot="1" x14ac:dyDescent="0.25">
      <c r="A10" s="149" t="s">
        <v>231</v>
      </c>
      <c r="B10" s="302">
        <f>VLOOKUP(A5,мкд!S:T,2,FALSE)</f>
        <v>-1015579.49</v>
      </c>
      <c r="C10" s="83"/>
      <c r="D10" s="84"/>
    </row>
    <row r="11" spans="1:4" ht="16.5" hidden="1" thickBot="1" x14ac:dyDescent="0.25">
      <c r="A11" s="150" t="s">
        <v>232</v>
      </c>
      <c r="B11" s="82"/>
      <c r="C11" s="84"/>
      <c r="D11" s="86"/>
    </row>
    <row r="12" spans="1:4" ht="16.5" thickBot="1" x14ac:dyDescent="0.3">
      <c r="A12" s="151" t="s">
        <v>233</v>
      </c>
      <c r="B12" s="88"/>
      <c r="C12" s="89" t="s">
        <v>234</v>
      </c>
      <c r="D12" s="90" t="s">
        <v>234</v>
      </c>
    </row>
    <row r="13" spans="1:4" ht="16.5" hidden="1" thickBot="1" x14ac:dyDescent="0.3">
      <c r="A13" s="152" t="s">
        <v>235</v>
      </c>
      <c r="B13" s="20">
        <v>3580.6</v>
      </c>
      <c r="C13" s="90" t="s">
        <v>234</v>
      </c>
      <c r="D13" s="92" t="s">
        <v>234</v>
      </c>
    </row>
    <row r="14" spans="1:4" ht="16.5" hidden="1" thickBot="1" x14ac:dyDescent="0.3">
      <c r="A14" s="152" t="s">
        <v>236</v>
      </c>
      <c r="B14" s="20">
        <v>874.2</v>
      </c>
      <c r="C14" s="93"/>
      <c r="D14" s="92"/>
    </row>
    <row r="15" spans="1:4" ht="15.75" x14ac:dyDescent="0.25">
      <c r="A15" s="152" t="s">
        <v>237</v>
      </c>
      <c r="B15" s="20">
        <f>B13+B14</f>
        <v>4454.8</v>
      </c>
      <c r="C15" s="94"/>
      <c r="D15" s="95"/>
    </row>
    <row r="16" spans="1:4" ht="16.5" thickBot="1" x14ac:dyDescent="0.3">
      <c r="A16" s="152" t="s">
        <v>238</v>
      </c>
      <c r="B16" s="20">
        <f>2391+3500/3</f>
        <v>3557.666666666667</v>
      </c>
      <c r="C16" s="96" t="s">
        <v>234</v>
      </c>
      <c r="D16" s="95" t="s">
        <v>234</v>
      </c>
    </row>
    <row r="17" spans="1:7" ht="16.5" hidden="1" thickBot="1" x14ac:dyDescent="0.3">
      <c r="A17" s="152" t="s">
        <v>239</v>
      </c>
      <c r="B17" s="20">
        <v>0</v>
      </c>
      <c r="C17" s="90" t="s">
        <v>234</v>
      </c>
      <c r="D17" s="92" t="s">
        <v>234</v>
      </c>
      <c r="E17" s="77"/>
      <c r="F17" s="77"/>
      <c r="G17" s="77"/>
    </row>
    <row r="18" spans="1:7" ht="16.5" hidden="1" thickBot="1" x14ac:dyDescent="0.3">
      <c r="A18" s="152" t="s">
        <v>240</v>
      </c>
      <c r="B18" s="20">
        <v>1110.8</v>
      </c>
      <c r="C18" s="95" t="s">
        <v>234</v>
      </c>
      <c r="D18" s="92" t="s">
        <v>234</v>
      </c>
      <c r="E18" s="77"/>
      <c r="F18" s="77"/>
      <c r="G18" s="77"/>
    </row>
    <row r="19" spans="1:7" ht="16.5" hidden="1" thickBot="1" x14ac:dyDescent="0.3">
      <c r="A19" s="152" t="s">
        <v>241</v>
      </c>
      <c r="B19" s="20">
        <v>0</v>
      </c>
      <c r="C19" s="95" t="s">
        <v>234</v>
      </c>
      <c r="D19" s="92" t="s">
        <v>234</v>
      </c>
      <c r="E19" s="77"/>
      <c r="F19" s="77"/>
      <c r="G19" s="77"/>
    </row>
    <row r="20" spans="1:7" ht="16.5" hidden="1" thickBot="1" x14ac:dyDescent="0.3">
      <c r="A20" s="152" t="s">
        <v>242</v>
      </c>
      <c r="B20" s="20">
        <v>1378</v>
      </c>
      <c r="C20" s="95"/>
      <c r="D20" s="92"/>
      <c r="E20" s="77"/>
      <c r="F20" s="77"/>
      <c r="G20" s="77"/>
    </row>
    <row r="21" spans="1:7" ht="16.5" hidden="1" thickBot="1" x14ac:dyDescent="0.3">
      <c r="A21" s="152" t="s">
        <v>243</v>
      </c>
      <c r="B21" s="20">
        <v>0</v>
      </c>
      <c r="C21" s="95" t="s">
        <v>234</v>
      </c>
      <c r="D21" s="92" t="s">
        <v>234</v>
      </c>
      <c r="E21" s="77"/>
      <c r="F21" s="77"/>
      <c r="G21" s="77"/>
    </row>
    <row r="22" spans="1:7" ht="16.5" hidden="1" thickBot="1" x14ac:dyDescent="0.3">
      <c r="A22" s="152" t="s">
        <v>244</v>
      </c>
      <c r="B22" s="20">
        <v>212</v>
      </c>
      <c r="C22" s="93"/>
      <c r="D22" s="92"/>
      <c r="E22" s="77"/>
      <c r="F22" s="77"/>
      <c r="G22" s="77"/>
    </row>
    <row r="23" spans="1:7" ht="15.75" x14ac:dyDescent="0.25">
      <c r="A23" s="152"/>
      <c r="B23" s="20"/>
      <c r="C23" s="94"/>
      <c r="D23" s="95"/>
      <c r="E23" s="77">
        <v>12</v>
      </c>
      <c r="F23" s="77"/>
      <c r="G23" s="77"/>
    </row>
    <row r="24" spans="1:7" ht="15.75" x14ac:dyDescent="0.25">
      <c r="A24" s="153" t="s">
        <v>319</v>
      </c>
      <c r="B24" s="25">
        <f>VLOOKUP(A5,[1]Лист1!M$1:N$65536,2,FALSE)</f>
        <v>699129.06</v>
      </c>
      <c r="C24" s="92"/>
      <c r="D24" s="95"/>
      <c r="E24" s="26">
        <v>15.95</v>
      </c>
      <c r="F24" s="77"/>
      <c r="G24" s="77"/>
    </row>
    <row r="25" spans="1:7" ht="16.5" thickBot="1" x14ac:dyDescent="0.3">
      <c r="A25" s="153" t="s">
        <v>320</v>
      </c>
      <c r="B25" s="25">
        <f>VLOOKUP(A5,[1]Лист1!M$1:O$65536,3,FALSE)</f>
        <v>704304.6</v>
      </c>
      <c r="C25" s="96"/>
      <c r="D25" s="95"/>
      <c r="E25" s="77"/>
      <c r="F25" s="77"/>
      <c r="G25" s="77"/>
    </row>
    <row r="26" spans="1:7" ht="15.75" hidden="1" x14ac:dyDescent="0.25">
      <c r="A26" s="153" t="s">
        <v>353</v>
      </c>
      <c r="B26" s="25"/>
      <c r="C26" s="90"/>
      <c r="D26" s="92"/>
      <c r="E26" s="77"/>
      <c r="F26" s="77"/>
      <c r="G26" s="77"/>
    </row>
    <row r="27" spans="1:7" ht="33.75" customHeight="1" thickBot="1" x14ac:dyDescent="0.3">
      <c r="A27" s="153" t="s">
        <v>354</v>
      </c>
      <c r="B27" s="25">
        <v>179088.71</v>
      </c>
      <c r="C27" s="93"/>
      <c r="D27" s="92"/>
      <c r="E27" s="77"/>
      <c r="F27" s="77"/>
      <c r="G27" s="77"/>
    </row>
    <row r="28" spans="1:7" ht="36" hidden="1" customHeight="1" thickBot="1" x14ac:dyDescent="0.3">
      <c r="A28" s="153" t="s">
        <v>249</v>
      </c>
      <c r="B28" s="25"/>
      <c r="C28" s="89"/>
      <c r="D28" s="95"/>
      <c r="E28" s="77"/>
      <c r="F28" s="77"/>
      <c r="G28" s="77"/>
    </row>
    <row r="29" spans="1:7" ht="32.25" hidden="1" customHeight="1" thickBot="1" x14ac:dyDescent="0.3">
      <c r="A29" s="153" t="s">
        <v>250</v>
      </c>
      <c r="B29" s="25"/>
      <c r="C29" s="98"/>
      <c r="D29" s="92"/>
      <c r="E29" s="77"/>
      <c r="F29" s="77"/>
      <c r="G29" s="77"/>
    </row>
    <row r="30" spans="1:7" ht="15.75" x14ac:dyDescent="0.25">
      <c r="A30" s="154"/>
      <c r="B30" s="20"/>
      <c r="C30" s="94"/>
      <c r="D30" s="95"/>
      <c r="E30" s="77"/>
      <c r="F30" s="77"/>
      <c r="G30" s="77"/>
    </row>
    <row r="31" spans="1:7" ht="15.75" x14ac:dyDescent="0.25">
      <c r="A31" s="155" t="s">
        <v>251</v>
      </c>
      <c r="B31" s="20"/>
      <c r="C31" s="92"/>
      <c r="D31" s="95"/>
      <c r="E31" s="77"/>
      <c r="F31" s="77"/>
      <c r="G31" s="77"/>
    </row>
    <row r="32" spans="1:7" s="103" customFormat="1" ht="31.5" x14ac:dyDescent="0.25">
      <c r="A32" s="156" t="s">
        <v>252</v>
      </c>
      <c r="B32" s="32">
        <f>SUM(B33:B41)</f>
        <v>278265.02</v>
      </c>
      <c r="C32" s="92"/>
      <c r="D32" s="95"/>
      <c r="E32" s="102">
        <f>(B86-B26-B24)/1.2/1.03</f>
        <v>521004.74058957736</v>
      </c>
      <c r="F32" s="102" t="e">
        <f>(#REF!-#REF!-#REF!)/1.2/1.03</f>
        <v>#REF!</v>
      </c>
      <c r="G32" s="102" t="e">
        <f>(#REF!-#REF!-#REF!)/1.2/1.03</f>
        <v>#REF!</v>
      </c>
    </row>
    <row r="33" spans="1:7" ht="16.5" thickBot="1" x14ac:dyDescent="0.3">
      <c r="A33" s="157" t="s">
        <v>253</v>
      </c>
      <c r="B33" s="20">
        <f>40000*1.12</f>
        <v>44800.000000000007</v>
      </c>
      <c r="C33" s="96"/>
      <c r="D33" s="95">
        <v>30320.57</v>
      </c>
      <c r="E33" s="77"/>
      <c r="F33" s="77"/>
      <c r="G33" s="77"/>
    </row>
    <row r="34" spans="1:7" ht="15.75" hidden="1" x14ac:dyDescent="0.25">
      <c r="A34" s="104" t="s">
        <v>342</v>
      </c>
      <c r="B34" s="20"/>
      <c r="C34" s="90"/>
      <c r="D34" s="92">
        <v>0</v>
      </c>
      <c r="E34" s="77"/>
      <c r="F34" s="77"/>
      <c r="G34" s="77"/>
    </row>
    <row r="35" spans="1:7" ht="15.75" hidden="1" x14ac:dyDescent="0.25">
      <c r="A35" s="104" t="s">
        <v>256</v>
      </c>
      <c r="B35" s="20">
        <v>0</v>
      </c>
      <c r="C35" s="95"/>
      <c r="D35" s="92">
        <v>0</v>
      </c>
      <c r="E35" s="77"/>
      <c r="F35" s="77"/>
      <c r="G35" s="77"/>
    </row>
    <row r="36" spans="1:7" ht="15.75" x14ac:dyDescent="0.25">
      <c r="A36" s="157" t="s">
        <v>255</v>
      </c>
      <c r="B36" s="20">
        <v>205711.62</v>
      </c>
      <c r="C36" s="95" t="s">
        <v>234</v>
      </c>
      <c r="D36" s="92">
        <v>0</v>
      </c>
      <c r="E36" s="77" t="s">
        <v>355</v>
      </c>
      <c r="F36" s="77"/>
      <c r="G36" s="77"/>
    </row>
    <row r="37" spans="1:7" ht="17.25" thickBot="1" x14ac:dyDescent="0.3">
      <c r="A37" s="158" t="s">
        <v>356</v>
      </c>
      <c r="B37" s="159">
        <v>27753.4</v>
      </c>
      <c r="C37" s="95"/>
      <c r="D37" s="92">
        <v>0</v>
      </c>
      <c r="E37" s="77"/>
      <c r="F37" s="77"/>
      <c r="G37" s="77"/>
    </row>
    <row r="38" spans="1:7" ht="16.5" hidden="1" thickBot="1" x14ac:dyDescent="0.3">
      <c r="A38" s="104" t="s">
        <v>357</v>
      </c>
      <c r="B38" s="20">
        <v>0</v>
      </c>
      <c r="C38" s="95"/>
      <c r="D38" s="92">
        <v>0</v>
      </c>
      <c r="E38" s="77"/>
      <c r="F38" s="77"/>
      <c r="G38" s="77"/>
    </row>
    <row r="39" spans="1:7" ht="16.5" hidden="1" thickBot="1" x14ac:dyDescent="0.3">
      <c r="A39" s="104" t="s">
        <v>324</v>
      </c>
      <c r="B39" s="20">
        <v>0</v>
      </c>
      <c r="C39" s="95"/>
      <c r="D39" s="92">
        <v>0</v>
      </c>
      <c r="E39" s="77"/>
      <c r="F39" s="77"/>
      <c r="G39" s="77"/>
    </row>
    <row r="40" spans="1:7" ht="16.5" hidden="1" thickBot="1" x14ac:dyDescent="0.3">
      <c r="A40" s="104" t="s">
        <v>312</v>
      </c>
      <c r="B40" s="20">
        <v>0</v>
      </c>
      <c r="C40" s="95"/>
      <c r="D40" s="92"/>
      <c r="E40" s="77"/>
      <c r="F40" s="77"/>
      <c r="G40" s="77"/>
    </row>
    <row r="41" spans="1:7" ht="16.5" hidden="1" thickBot="1" x14ac:dyDescent="0.3">
      <c r="A41" s="104" t="s">
        <v>313</v>
      </c>
      <c r="B41" s="20">
        <v>0</v>
      </c>
      <c r="C41" s="93"/>
      <c r="D41" s="92"/>
      <c r="E41" s="77"/>
      <c r="F41" s="77"/>
      <c r="G41" s="77"/>
    </row>
    <row r="42" spans="1:7" s="103" customFormat="1" ht="48" thickBot="1" x14ac:dyDescent="0.3">
      <c r="A42" s="156" t="s">
        <v>325</v>
      </c>
      <c r="B42" s="32">
        <f>SUM(B43:B45)</f>
        <v>31631.146654392447</v>
      </c>
      <c r="C42" s="89"/>
      <c r="D42" s="95"/>
      <c r="E42" s="102"/>
      <c r="F42" s="102"/>
      <c r="G42" s="102"/>
    </row>
    <row r="43" spans="1:7" ht="15.75" x14ac:dyDescent="0.25">
      <c r="A43" s="157" t="s">
        <v>262</v>
      </c>
      <c r="B43" s="20">
        <f>1439.16+556</f>
        <v>1995.16</v>
      </c>
      <c r="C43" s="98"/>
      <c r="D43" s="108"/>
      <c r="E43" s="77"/>
      <c r="F43" s="77"/>
      <c r="G43" s="77"/>
    </row>
    <row r="44" spans="1:7" ht="15.75" x14ac:dyDescent="0.25">
      <c r="A44" s="157" t="s">
        <v>263</v>
      </c>
      <c r="B44" s="20">
        <f>1521.67+3264.14</f>
        <v>4785.8099999999995</v>
      </c>
      <c r="C44" s="93"/>
      <c r="D44" s="108"/>
      <c r="E44" s="77"/>
      <c r="F44" s="77"/>
      <c r="G44" s="77"/>
    </row>
    <row r="45" spans="1:7" ht="16.5" thickBot="1" x14ac:dyDescent="0.3">
      <c r="A45" s="160" t="s">
        <v>264</v>
      </c>
      <c r="B45" s="20">
        <f>[4]тарифы!D163*B15+1085.17*1.12</f>
        <v>24850.17665439245</v>
      </c>
      <c r="C45" s="93"/>
      <c r="D45" s="108"/>
      <c r="E45" s="77"/>
      <c r="F45" s="77"/>
      <c r="G45" s="77"/>
    </row>
    <row r="46" spans="1:7" s="79" customFormat="1" ht="16.5" thickBot="1" x14ac:dyDescent="0.3">
      <c r="A46" s="156" t="s">
        <v>265</v>
      </c>
      <c r="B46" s="32">
        <f>SUM(B47:B65)</f>
        <v>102795.17000000001</v>
      </c>
      <c r="C46" s="89"/>
      <c r="D46" s="95"/>
    </row>
    <row r="47" spans="1:7" ht="15.75" x14ac:dyDescent="0.25">
      <c r="A47" s="157" t="s">
        <v>326</v>
      </c>
      <c r="B47" s="20">
        <v>4665.3599999999997</v>
      </c>
      <c r="C47" s="90"/>
      <c r="D47" s="92"/>
      <c r="E47" s="77" t="s">
        <v>267</v>
      </c>
      <c r="F47" s="77"/>
      <c r="G47" s="77"/>
    </row>
    <row r="48" spans="1:7" ht="15.75" x14ac:dyDescent="0.25">
      <c r="A48" s="157" t="s">
        <v>317</v>
      </c>
      <c r="B48" s="20">
        <v>5665.02</v>
      </c>
      <c r="C48" s="95"/>
      <c r="D48" s="92"/>
      <c r="E48" s="77" t="s">
        <v>269</v>
      </c>
      <c r="F48" s="77"/>
      <c r="G48" s="77"/>
    </row>
    <row r="49" spans="1:4" ht="15.75" hidden="1" x14ac:dyDescent="0.25">
      <c r="A49" s="161" t="s">
        <v>270</v>
      </c>
      <c r="B49" s="20">
        <v>0</v>
      </c>
      <c r="C49" s="95"/>
      <c r="D49" s="92"/>
    </row>
    <row r="50" spans="1:4" ht="15.75" hidden="1" x14ac:dyDescent="0.25">
      <c r="A50" s="161" t="s">
        <v>271</v>
      </c>
      <c r="B50" s="20">
        <v>0</v>
      </c>
      <c r="C50" s="95"/>
      <c r="D50" s="92">
        <v>4190</v>
      </c>
    </row>
    <row r="51" spans="1:4" ht="15.75" hidden="1" x14ac:dyDescent="0.25">
      <c r="A51" s="161" t="s">
        <v>358</v>
      </c>
      <c r="B51" s="20">
        <v>0</v>
      </c>
      <c r="C51" s="95"/>
      <c r="D51" s="92"/>
    </row>
    <row r="52" spans="1:4" ht="15.75" x14ac:dyDescent="0.25">
      <c r="A52" s="161" t="s">
        <v>347</v>
      </c>
      <c r="B52" s="20">
        <v>8133.61</v>
      </c>
      <c r="C52" s="95"/>
      <c r="D52" s="92">
        <v>105.14</v>
      </c>
    </row>
    <row r="53" spans="1:4" ht="15" customHeight="1" x14ac:dyDescent="0.25">
      <c r="A53" s="161" t="s">
        <v>542</v>
      </c>
      <c r="B53" s="20">
        <v>4200</v>
      </c>
      <c r="C53" s="95">
        <v>0</v>
      </c>
      <c r="D53" s="92">
        <v>522.99</v>
      </c>
    </row>
    <row r="54" spans="1:4" ht="16.5" thickBot="1" x14ac:dyDescent="0.3">
      <c r="A54" s="161" t="s">
        <v>541</v>
      </c>
      <c r="B54" s="20">
        <v>36700</v>
      </c>
      <c r="C54" s="95">
        <v>1</v>
      </c>
      <c r="D54" s="111">
        <v>695.13</v>
      </c>
    </row>
    <row r="55" spans="1:4" ht="15.75" hidden="1" x14ac:dyDescent="0.25">
      <c r="A55" s="161" t="s">
        <v>360</v>
      </c>
      <c r="B55" s="20"/>
      <c r="C55" s="95"/>
      <c r="D55" s="111"/>
    </row>
    <row r="56" spans="1:4" ht="15.75" hidden="1" x14ac:dyDescent="0.25">
      <c r="A56" s="161" t="s">
        <v>361</v>
      </c>
      <c r="B56" s="20"/>
      <c r="C56" s="95">
        <v>0</v>
      </c>
      <c r="D56" s="92">
        <f>10695.76/1.18</f>
        <v>9064.203389830509</v>
      </c>
    </row>
    <row r="57" spans="1:4" ht="15.75" hidden="1" x14ac:dyDescent="0.25">
      <c r="A57" s="161" t="s">
        <v>314</v>
      </c>
      <c r="B57" s="20">
        <v>0</v>
      </c>
      <c r="C57" s="95">
        <v>0</v>
      </c>
      <c r="D57" s="92">
        <f>2300/1.18</f>
        <v>1949.1525423728815</v>
      </c>
    </row>
    <row r="58" spans="1:4" ht="15.75" hidden="1" x14ac:dyDescent="0.25">
      <c r="A58" s="161" t="s">
        <v>315</v>
      </c>
      <c r="B58" s="20">
        <v>0</v>
      </c>
      <c r="C58" s="93">
        <v>0</v>
      </c>
      <c r="D58" s="92">
        <v>0</v>
      </c>
    </row>
    <row r="59" spans="1:4" ht="15" customHeight="1" thickBot="1" x14ac:dyDescent="0.3">
      <c r="A59" s="161" t="s">
        <v>544</v>
      </c>
      <c r="B59" s="20">
        <v>21444.02</v>
      </c>
      <c r="C59" s="89"/>
      <c r="D59" s="95"/>
    </row>
    <row r="60" spans="1:4" ht="15.75" x14ac:dyDescent="0.25">
      <c r="A60" s="157" t="s">
        <v>540</v>
      </c>
      <c r="B60" s="20">
        <v>17765.05</v>
      </c>
      <c r="C60" s="90"/>
      <c r="D60" s="92"/>
    </row>
    <row r="61" spans="1:4" ht="15.75" hidden="1" x14ac:dyDescent="0.25">
      <c r="A61" s="157" t="s">
        <v>350</v>
      </c>
      <c r="B61" s="20"/>
      <c r="C61" s="95"/>
      <c r="D61" s="92">
        <v>0</v>
      </c>
    </row>
    <row r="62" spans="1:4" ht="15.75" hidden="1" x14ac:dyDescent="0.25">
      <c r="A62" s="157" t="s">
        <v>283</v>
      </c>
      <c r="B62" s="20"/>
      <c r="C62" s="95"/>
      <c r="D62" s="92">
        <v>0</v>
      </c>
    </row>
    <row r="63" spans="1:4" ht="15.75" hidden="1" x14ac:dyDescent="0.25">
      <c r="A63" s="157" t="s">
        <v>352</v>
      </c>
      <c r="B63" s="112"/>
      <c r="C63" s="113">
        <v>1</v>
      </c>
      <c r="D63" s="92">
        <v>0</v>
      </c>
    </row>
    <row r="64" spans="1:4" ht="16.5" hidden="1" thickBot="1" x14ac:dyDescent="0.3">
      <c r="A64" s="157" t="s">
        <v>284</v>
      </c>
      <c r="B64" s="112">
        <v>0</v>
      </c>
      <c r="C64" s="114">
        <v>80</v>
      </c>
      <c r="D64" s="95">
        <v>2</v>
      </c>
    </row>
    <row r="65" spans="1:4" s="79" customFormat="1" ht="16.5" thickBot="1" x14ac:dyDescent="0.3">
      <c r="A65" s="157" t="s">
        <v>362</v>
      </c>
      <c r="B65" s="112">
        <f>597.28+3624.83</f>
        <v>4222.1099999999997</v>
      </c>
      <c r="C65" s="115">
        <v>80</v>
      </c>
      <c r="D65" s="108">
        <v>560</v>
      </c>
    </row>
    <row r="66" spans="1:4" s="79" customFormat="1" ht="16.5" thickBot="1" x14ac:dyDescent="0.3">
      <c r="A66" s="162" t="s">
        <v>286</v>
      </c>
      <c r="B66" s="32">
        <f>SUM(B67:B74)</f>
        <v>321692.61825621082</v>
      </c>
      <c r="C66" s="89"/>
      <c r="D66" s="93"/>
    </row>
    <row r="67" spans="1:4" ht="16.5" hidden="1" thickBot="1" x14ac:dyDescent="0.3">
      <c r="A67" s="157" t="s">
        <v>287</v>
      </c>
      <c r="B67" s="20">
        <v>0</v>
      </c>
      <c r="C67" s="98"/>
      <c r="D67" s="108"/>
    </row>
    <row r="68" spans="1:4" ht="16.5" thickBot="1" x14ac:dyDescent="0.3">
      <c r="A68" s="157" t="s">
        <v>288</v>
      </c>
      <c r="B68" s="20">
        <f>129518.65*1.04*1.12</f>
        <v>150863.32352000003</v>
      </c>
      <c r="C68" s="89"/>
      <c r="D68" s="93"/>
    </row>
    <row r="69" spans="1:4" ht="15.75" hidden="1" x14ac:dyDescent="0.25">
      <c r="A69" s="157" t="s">
        <v>289</v>
      </c>
      <c r="B69" s="20">
        <v>0</v>
      </c>
      <c r="C69" s="98"/>
      <c r="D69" s="108"/>
    </row>
    <row r="70" spans="1:4" ht="16.5" thickBot="1" x14ac:dyDescent="0.3">
      <c r="A70" s="160" t="s">
        <v>290</v>
      </c>
      <c r="B70" s="20">
        <f>[4]тарифы!D164*B13*1.12</f>
        <v>4421.2130887973326</v>
      </c>
      <c r="C70" s="93"/>
      <c r="D70" s="108"/>
    </row>
    <row r="71" spans="1:4" ht="15.75" x14ac:dyDescent="0.25">
      <c r="A71" s="160" t="s">
        <v>291</v>
      </c>
      <c r="B71" s="20">
        <f>[4]тарифы!D165*B15*1.12</f>
        <v>28488.772847413413</v>
      </c>
      <c r="C71" s="117"/>
      <c r="D71" s="93"/>
    </row>
    <row r="72" spans="1:4" ht="15.75" x14ac:dyDescent="0.25">
      <c r="A72" s="160" t="s">
        <v>292</v>
      </c>
      <c r="B72" s="20">
        <f>45498*1.04*1.12</f>
        <v>52996.070400000004</v>
      </c>
      <c r="C72" s="108"/>
      <c r="D72" s="93"/>
    </row>
    <row r="73" spans="1:4" ht="15.75" x14ac:dyDescent="0.25">
      <c r="A73" s="163" t="s">
        <v>293</v>
      </c>
      <c r="B73" s="20">
        <f>7720*1.04*1.12</f>
        <v>8992.2560000000012</v>
      </c>
      <c r="C73" s="108"/>
      <c r="D73" s="93"/>
    </row>
    <row r="74" spans="1:4" ht="15.75" x14ac:dyDescent="0.25">
      <c r="A74" s="160" t="s">
        <v>294</v>
      </c>
      <c r="B74" s="20">
        <f>65188*1.04*1.12</f>
        <v>75930.982400000008</v>
      </c>
      <c r="C74" s="108"/>
      <c r="D74" s="93"/>
    </row>
    <row r="75" spans="1:4" ht="47.25" x14ac:dyDescent="0.25">
      <c r="A75" s="164" t="s">
        <v>328</v>
      </c>
      <c r="B75" s="32">
        <f>SUM(B76:B76)</f>
        <v>121856.23660303219</v>
      </c>
      <c r="C75" s="108"/>
      <c r="D75" s="93"/>
    </row>
    <row r="76" spans="1:4" ht="15.75" x14ac:dyDescent="0.25">
      <c r="A76" s="160" t="s">
        <v>296</v>
      </c>
      <c r="B76" s="20">
        <f>[4]ОЭР!D42*1.12</f>
        <v>121856.23660303219</v>
      </c>
      <c r="C76" s="108"/>
      <c r="D76" s="93"/>
    </row>
    <row r="77" spans="1:4" s="79" customFormat="1" ht="15.75" x14ac:dyDescent="0.25">
      <c r="A77" s="162" t="s">
        <v>297</v>
      </c>
      <c r="B77" s="32">
        <f>SUM(B78:B81)</f>
        <v>230402.94713419402</v>
      </c>
      <c r="C77" s="108"/>
      <c r="D77" s="93"/>
    </row>
    <row r="78" spans="1:4" ht="32.25" thickBot="1" x14ac:dyDescent="0.3">
      <c r="A78" s="165" t="s">
        <v>329</v>
      </c>
      <c r="B78" s="20">
        <f>[4]тарифы!D170*B15*1.12</f>
        <v>107511.77229667324</v>
      </c>
      <c r="C78" s="96"/>
      <c r="D78" s="93"/>
    </row>
    <row r="79" spans="1:4" ht="22.5" customHeight="1" thickBot="1" x14ac:dyDescent="0.3">
      <c r="A79" s="166" t="s">
        <v>299</v>
      </c>
      <c r="B79" s="20">
        <v>95621</v>
      </c>
      <c r="C79" s="98"/>
      <c r="D79" s="108"/>
    </row>
    <row r="80" spans="1:4" ht="15.75" x14ac:dyDescent="0.25">
      <c r="A80" s="167" t="s">
        <v>330</v>
      </c>
      <c r="B80" s="20">
        <f>10571.93+8827.37</f>
        <v>19399.300000000003</v>
      </c>
      <c r="C80" s="117"/>
      <c r="D80" s="93"/>
    </row>
    <row r="81" spans="1:4" ht="15.75" x14ac:dyDescent="0.25">
      <c r="A81" s="167" t="s">
        <v>331</v>
      </c>
      <c r="B81" s="20">
        <f>[4]тарифы!D173*B13*1.12</f>
        <v>7870.8748375207733</v>
      </c>
      <c r="C81" s="108"/>
      <c r="D81" s="93"/>
    </row>
    <row r="82" spans="1:4" ht="15.75" x14ac:dyDescent="0.25">
      <c r="A82" s="168" t="s">
        <v>302</v>
      </c>
      <c r="B82" s="25">
        <f>B32+B42+B46+B66+B75+B77</f>
        <v>1086643.1386478296</v>
      </c>
      <c r="C82" s="108"/>
      <c r="D82" s="93"/>
    </row>
    <row r="83" spans="1:4" ht="15.75" x14ac:dyDescent="0.25">
      <c r="A83" s="169" t="s">
        <v>303</v>
      </c>
      <c r="B83" s="20">
        <f>B82*0.03</f>
        <v>32599.294159434889</v>
      </c>
      <c r="C83" s="108"/>
      <c r="D83" s="93"/>
    </row>
    <row r="84" spans="1:4" s="103" customFormat="1" ht="15.75" x14ac:dyDescent="0.25">
      <c r="A84" s="170" t="s">
        <v>304</v>
      </c>
      <c r="B84" s="32">
        <f>B82+B83</f>
        <v>1119242.4328072646</v>
      </c>
      <c r="C84" s="108"/>
      <c r="D84" s="93"/>
    </row>
    <row r="85" spans="1:4" ht="16.5" thickBot="1" x14ac:dyDescent="0.3">
      <c r="A85" s="171" t="s">
        <v>305</v>
      </c>
      <c r="B85" s="57">
        <f>B84*0.2</f>
        <v>223848.48656145294</v>
      </c>
      <c r="C85" s="108"/>
      <c r="D85" s="93"/>
    </row>
    <row r="86" spans="1:4" s="79" customFormat="1" ht="16.5" thickBot="1" x14ac:dyDescent="0.3">
      <c r="A86" s="172" t="s">
        <v>306</v>
      </c>
      <c r="B86" s="59">
        <f>B84+B85</f>
        <v>1343090.9193687176</v>
      </c>
      <c r="C86" s="89"/>
      <c r="D86" s="126"/>
    </row>
    <row r="87" spans="1:4" s="79" customFormat="1" ht="16.5" thickBot="1" x14ac:dyDescent="0.3">
      <c r="A87" s="173" t="s">
        <v>307</v>
      </c>
      <c r="B87" s="296">
        <f>B10+B24+B26+B28+B29-B86</f>
        <v>-1659541.3493687175</v>
      </c>
      <c r="C87" s="128"/>
      <c r="D87" s="129"/>
    </row>
    <row r="88" spans="1:4" s="79" customFormat="1" ht="16.5" thickBot="1" x14ac:dyDescent="0.3">
      <c r="A88" s="174" t="s">
        <v>308</v>
      </c>
      <c r="B88" s="59">
        <f>B10+B25+B27+B28+B29-B86</f>
        <v>-1475277.0993687175</v>
      </c>
      <c r="C88" s="131"/>
      <c r="D88" s="129"/>
    </row>
    <row r="89" spans="1:4" s="79" customFormat="1" ht="16.5" hidden="1" thickBot="1" x14ac:dyDescent="0.3">
      <c r="A89" s="175" t="s">
        <v>309</v>
      </c>
      <c r="B89" s="59">
        <f>B11+B24-B25</f>
        <v>-5175.5399999999208</v>
      </c>
      <c r="C89" s="129"/>
      <c r="D89" s="129"/>
    </row>
    <row r="90" spans="1:4" s="79" customFormat="1" ht="15.75" x14ac:dyDescent="0.25">
      <c r="A90" s="176"/>
      <c r="B90" s="68"/>
      <c r="C90" s="129"/>
      <c r="D90" s="129"/>
    </row>
    <row r="91" spans="1:4" ht="15.75" x14ac:dyDescent="0.25">
      <c r="A91" s="177"/>
      <c r="B91" s="70"/>
      <c r="C91" s="77"/>
      <c r="D91" s="77"/>
    </row>
    <row r="92" spans="1:4" ht="15.75" x14ac:dyDescent="0.25">
      <c r="A92" s="339" t="s">
        <v>332</v>
      </c>
      <c r="B92" s="339"/>
      <c r="C92" s="77"/>
      <c r="D92" s="77"/>
    </row>
    <row r="93" spans="1:4" ht="15.75" x14ac:dyDescent="0.25">
      <c r="A93" s="134"/>
      <c r="B93" s="70"/>
      <c r="C93" s="77"/>
      <c r="D93" s="77"/>
    </row>
    <row r="94" spans="1:4" ht="15.75" hidden="1" x14ac:dyDescent="0.25">
      <c r="A94" s="324" t="s">
        <v>333</v>
      </c>
      <c r="B94" s="324"/>
      <c r="C94" s="135"/>
      <c r="D94" s="77"/>
    </row>
    <row r="95" spans="1:4" ht="15.75" x14ac:dyDescent="0.25">
      <c r="A95" s="77"/>
      <c r="B95" s="70"/>
      <c r="C95" s="77"/>
      <c r="D95" s="77"/>
    </row>
  </sheetData>
  <autoFilter ref="A31:G89" xr:uid="{00000000-0009-0000-0000-000011000000}">
    <filterColumn colId="1">
      <filters>
        <filter val="1 095,07"/>
        <filter val="1 166,35"/>
        <filter val="10 024,63"/>
        <filter val="10 100,04"/>
        <filter val="116 825,31"/>
        <filter val="12 147,26"/>
        <filter val="121 366,24"/>
        <filter val="129 518,65"/>
        <filter val="14 157,70"/>
        <filter val="14 618,24"/>
        <filter val="15 159,84"/>
        <filter val="17 674,69"/>
        <filter val="26 865,65"/>
        <filter val="263 311,43"/>
        <filter val="30 145,11"/>
        <filter val="32 201,02"/>
        <filter val="39 632,56"/>
        <filter val="4 005,44"/>
        <filter val="4 240,30"/>
        <filter val="4 826,86"/>
        <filter val="40 230,68"/>
        <filter val="44 366,57"/>
        <filter val="45 304,95"/>
        <filter val="-497 180,12"/>
        <filter val="5 284,08"/>
        <filter val="-511 337,82"/>
        <filter val="58 079,26"/>
        <filter val="589 156,49"/>
        <filter val="606 831,19"/>
        <filter val="61 667,73"/>
        <filter val="7 004,80"/>
        <filter val="7 542,54"/>
        <filter val="728 197,42"/>
        <filter val="9 186,17"/>
        <filter val="91 881,21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70866141732283472" right="0.70866141732283472" top="0.74803149606299213" bottom="0.74803149606299213" header="0.31496062992125984" footer="0.31496062992125984"/>
  <pageSetup paperSize="9" scale="66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filterMode="1">
    <pageSetUpPr fitToPage="1"/>
  </sheetPr>
  <dimension ref="A1:G93"/>
  <sheetViews>
    <sheetView view="pageBreakPreview" topLeftCell="A33" zoomScale="80" zoomScaleNormal="100" zoomScaleSheetLayoutView="80" workbookViewId="0">
      <selection activeCell="B80" sqref="B80"/>
    </sheetView>
  </sheetViews>
  <sheetFormatPr defaultRowHeight="15.75" x14ac:dyDescent="0.25"/>
  <cols>
    <col min="1" max="1" width="91.5703125" style="3" customWidth="1"/>
    <col min="2" max="2" width="17.7109375" style="70" customWidth="1"/>
    <col min="3" max="4" width="13.85546875" style="3" customWidth="1"/>
    <col min="5" max="5" width="14.140625" style="3" customWidth="1"/>
    <col min="6" max="6" width="11.140625" style="3" customWidth="1"/>
    <col min="7" max="7" width="12.42578125" style="3" bestFit="1" customWidth="1"/>
    <col min="8" max="16384" width="9.140625" style="3"/>
  </cols>
  <sheetData>
    <row r="1" spans="1:4" ht="16.5" customHeight="1" x14ac:dyDescent="0.25">
      <c r="A1" s="313" t="s">
        <v>224</v>
      </c>
      <c r="B1" s="314"/>
    </row>
    <row r="2" spans="1:4" ht="16.5" x14ac:dyDescent="0.25">
      <c r="A2" s="315" t="s">
        <v>225</v>
      </c>
      <c r="B2" s="316"/>
    </row>
    <row r="3" spans="1:4" ht="16.5" x14ac:dyDescent="0.25">
      <c r="A3" s="315" t="s">
        <v>226</v>
      </c>
      <c r="B3" s="316"/>
    </row>
    <row r="4" spans="1:4" x14ac:dyDescent="0.25">
      <c r="A4" s="4" t="s">
        <v>516</v>
      </c>
      <c r="B4" s="5"/>
    </row>
    <row r="5" spans="1:4" x14ac:dyDescent="0.25">
      <c r="A5" s="4" t="s">
        <v>35</v>
      </c>
      <c r="B5" s="6"/>
    </row>
    <row r="6" spans="1:4" ht="5.25" customHeight="1" x14ac:dyDescent="0.25">
      <c r="A6" s="4"/>
      <c r="B6" s="7"/>
      <c r="C6" s="8"/>
    </row>
    <row r="7" spans="1:4" ht="16.5" thickBot="1" x14ac:dyDescent="0.3">
      <c r="A7" s="9"/>
      <c r="B7" s="7"/>
      <c r="C7" s="8"/>
    </row>
    <row r="8" spans="1:4" ht="15.75" customHeight="1" x14ac:dyDescent="0.25">
      <c r="A8" s="317" t="s">
        <v>227</v>
      </c>
      <c r="B8" s="319" t="s">
        <v>228</v>
      </c>
      <c r="C8" s="307" t="s">
        <v>229</v>
      </c>
      <c r="D8" s="307" t="s">
        <v>230</v>
      </c>
    </row>
    <row r="9" spans="1:4" ht="28.5" customHeight="1" thickBot="1" x14ac:dyDescent="0.3">
      <c r="A9" s="318"/>
      <c r="B9" s="320"/>
      <c r="C9" s="308"/>
      <c r="D9" s="308"/>
    </row>
    <row r="10" spans="1:4" ht="16.5" thickBot="1" x14ac:dyDescent="0.3">
      <c r="A10" s="10" t="s">
        <v>231</v>
      </c>
      <c r="B10" s="301">
        <f>VLOOKUP(A5,мкд!S:T,2,FALSE)</f>
        <v>-569747.93000000005</v>
      </c>
      <c r="C10" s="12"/>
      <c r="D10" s="12"/>
    </row>
    <row r="11" spans="1:4" ht="16.5" hidden="1" thickBot="1" x14ac:dyDescent="0.3">
      <c r="A11" s="13" t="s">
        <v>232</v>
      </c>
      <c r="B11" s="11"/>
      <c r="C11" s="14"/>
      <c r="D11" s="14"/>
    </row>
    <row r="12" spans="1:4" x14ac:dyDescent="0.25">
      <c r="A12" s="15" t="s">
        <v>233</v>
      </c>
      <c r="B12" s="16"/>
      <c r="C12" s="17" t="s">
        <v>234</v>
      </c>
      <c r="D12" s="18" t="s">
        <v>234</v>
      </c>
    </row>
    <row r="13" spans="1:4" hidden="1" x14ac:dyDescent="0.25">
      <c r="A13" s="19" t="s">
        <v>235</v>
      </c>
      <c r="B13" s="20">
        <v>3393.3</v>
      </c>
      <c r="C13" s="21" t="s">
        <v>234</v>
      </c>
      <c r="D13" s="22" t="s">
        <v>234</v>
      </c>
    </row>
    <row r="14" spans="1:4" hidden="1" x14ac:dyDescent="0.25">
      <c r="A14" s="19" t="s">
        <v>236</v>
      </c>
      <c r="B14" s="23">
        <v>0</v>
      </c>
      <c r="C14" s="21"/>
      <c r="D14" s="22"/>
    </row>
    <row r="15" spans="1:4" x14ac:dyDescent="0.25">
      <c r="A15" s="19" t="s">
        <v>237</v>
      </c>
      <c r="B15" s="20">
        <f>B13+B14</f>
        <v>3393.3</v>
      </c>
      <c r="C15" s="21"/>
      <c r="D15" s="22"/>
    </row>
    <row r="16" spans="1:4" x14ac:dyDescent="0.25">
      <c r="A16" s="19" t="s">
        <v>238</v>
      </c>
      <c r="B16" s="20">
        <f>1235.8+1365.9/3</f>
        <v>1691.1</v>
      </c>
      <c r="C16" s="21" t="s">
        <v>234</v>
      </c>
      <c r="D16" s="22" t="s">
        <v>234</v>
      </c>
    </row>
    <row r="17" spans="1:7" hidden="1" x14ac:dyDescent="0.25">
      <c r="A17" s="19" t="s">
        <v>239</v>
      </c>
      <c r="B17" s="23">
        <v>0</v>
      </c>
      <c r="C17" s="21" t="s">
        <v>234</v>
      </c>
      <c r="D17" s="22" t="s">
        <v>234</v>
      </c>
    </row>
    <row r="18" spans="1:7" hidden="1" x14ac:dyDescent="0.25">
      <c r="A18" s="19" t="s">
        <v>240</v>
      </c>
      <c r="B18" s="20">
        <v>930.2</v>
      </c>
      <c r="C18" s="21" t="s">
        <v>234</v>
      </c>
      <c r="D18" s="22" t="s">
        <v>234</v>
      </c>
    </row>
    <row r="19" spans="1:7" hidden="1" x14ac:dyDescent="0.25">
      <c r="A19" s="19" t="s">
        <v>241</v>
      </c>
      <c r="B19" s="23">
        <v>0</v>
      </c>
      <c r="C19" s="21" t="s">
        <v>234</v>
      </c>
      <c r="D19" s="22" t="s">
        <v>234</v>
      </c>
    </row>
    <row r="20" spans="1:7" hidden="1" x14ac:dyDescent="0.25">
      <c r="A20" s="19" t="s">
        <v>242</v>
      </c>
      <c r="B20" s="20">
        <v>1224</v>
      </c>
      <c r="C20" s="21"/>
      <c r="D20" s="22"/>
    </row>
    <row r="21" spans="1:7" hidden="1" x14ac:dyDescent="0.25">
      <c r="A21" s="19" t="s">
        <v>243</v>
      </c>
      <c r="B21" s="23">
        <v>0</v>
      </c>
      <c r="C21" s="21" t="s">
        <v>234</v>
      </c>
      <c r="D21" s="22" t="s">
        <v>234</v>
      </c>
    </row>
    <row r="22" spans="1:7" hidden="1" x14ac:dyDescent="0.25">
      <c r="A22" s="19" t="s">
        <v>244</v>
      </c>
      <c r="B22" s="20">
        <v>164</v>
      </c>
      <c r="C22" s="21"/>
      <c r="D22" s="22"/>
    </row>
    <row r="23" spans="1:7" x14ac:dyDescent="0.25">
      <c r="A23" s="19"/>
      <c r="B23" s="20"/>
      <c r="C23" s="21"/>
      <c r="D23" s="22"/>
      <c r="E23" s="3">
        <v>10</v>
      </c>
      <c r="F23" s="3">
        <v>2</v>
      </c>
    </row>
    <row r="24" spans="1:7" x14ac:dyDescent="0.25">
      <c r="A24" s="24" t="s">
        <v>245</v>
      </c>
      <c r="B24" s="25">
        <f>VLOOKUP(A5,[1]Лист1!M$1:N$65536,2,FALSE)</f>
        <v>500127.9</v>
      </c>
      <c r="C24" s="21"/>
      <c r="D24" s="22"/>
      <c r="E24" s="26">
        <v>12.059999952</v>
      </c>
      <c r="F24" s="27">
        <v>13.499963946268799</v>
      </c>
    </row>
    <row r="25" spans="1:7" x14ac:dyDescent="0.25">
      <c r="A25" s="24" t="s">
        <v>246</v>
      </c>
      <c r="B25" s="25">
        <f>VLOOKUP(A5,[1]Лист1!M$1:O$65536,3,FALSE)</f>
        <v>496654.94</v>
      </c>
      <c r="C25" s="21"/>
      <c r="D25" s="22"/>
    </row>
    <row r="26" spans="1:7" hidden="1" x14ac:dyDescent="0.25">
      <c r="A26" s="24" t="s">
        <v>247</v>
      </c>
      <c r="B26" s="25"/>
      <c r="C26" s="21"/>
      <c r="D26" s="22"/>
    </row>
    <row r="27" spans="1:7" hidden="1" x14ac:dyDescent="0.25">
      <c r="A27" s="24" t="s">
        <v>248</v>
      </c>
      <c r="B27" s="25">
        <f>B26</f>
        <v>0</v>
      </c>
      <c r="C27" s="21"/>
      <c r="D27" s="22"/>
    </row>
    <row r="28" spans="1:7" hidden="1" x14ac:dyDescent="0.25">
      <c r="A28" s="24" t="s">
        <v>249</v>
      </c>
      <c r="B28" s="25"/>
      <c r="C28" s="21"/>
      <c r="D28" s="22"/>
    </row>
    <row r="29" spans="1:7" hidden="1" x14ac:dyDescent="0.25">
      <c r="A29" s="24" t="s">
        <v>250</v>
      </c>
      <c r="B29" s="20"/>
      <c r="C29" s="21"/>
      <c r="D29" s="22"/>
    </row>
    <row r="30" spans="1:7" x14ac:dyDescent="0.25">
      <c r="A30" s="29"/>
      <c r="B30" s="20"/>
      <c r="C30" s="21"/>
      <c r="D30" s="22"/>
    </row>
    <row r="31" spans="1:7" x14ac:dyDescent="0.25">
      <c r="A31" s="30" t="s">
        <v>251</v>
      </c>
      <c r="B31" s="20"/>
      <c r="C31" s="21"/>
      <c r="D31" s="22"/>
    </row>
    <row r="32" spans="1:7" s="34" customFormat="1" ht="31.5" x14ac:dyDescent="0.25">
      <c r="A32" s="31" t="s">
        <v>252</v>
      </c>
      <c r="B32" s="32">
        <f>SUM(B33:B41)</f>
        <v>145411.26946699293</v>
      </c>
      <c r="C32" s="21"/>
      <c r="D32" s="22"/>
      <c r="E32" s="33">
        <f>(B24-B85)/1.2/1.03</f>
        <v>-224659.5761660221</v>
      </c>
      <c r="F32" s="33" t="e">
        <f>(#REF!-#REF!)/1.2/1.03</f>
        <v>#REF!</v>
      </c>
      <c r="G32" s="33" t="e">
        <f>(#REF!-#REF!)/1.2/1.03</f>
        <v>#REF!</v>
      </c>
    </row>
    <row r="33" spans="1:7" ht="16.5" x14ac:dyDescent="0.25">
      <c r="A33" s="35" t="s">
        <v>253</v>
      </c>
      <c r="B33" s="178">
        <v>77656.339466992955</v>
      </c>
      <c r="C33" s="21"/>
      <c r="D33" s="22">
        <v>32718.04</v>
      </c>
      <c r="E33" s="3">
        <v>31</v>
      </c>
    </row>
    <row r="34" spans="1:7" hidden="1" x14ac:dyDescent="0.25">
      <c r="A34" s="35" t="s">
        <v>363</v>
      </c>
      <c r="B34" s="23">
        <v>0</v>
      </c>
      <c r="C34" s="21"/>
      <c r="D34" s="22">
        <v>0</v>
      </c>
    </row>
    <row r="35" spans="1:7" x14ac:dyDescent="0.25">
      <c r="A35" s="35" t="s">
        <v>255</v>
      </c>
      <c r="B35" s="20">
        <f>58419.92+9335.01</f>
        <v>67754.929999999993</v>
      </c>
      <c r="C35" s="21"/>
      <c r="D35" s="22">
        <v>0</v>
      </c>
      <c r="E35" s="3">
        <v>46</v>
      </c>
    </row>
    <row r="36" spans="1:7" hidden="1" x14ac:dyDescent="0.25">
      <c r="A36" s="35" t="s">
        <v>256</v>
      </c>
      <c r="B36" s="20"/>
      <c r="C36" s="21" t="s">
        <v>234</v>
      </c>
      <c r="D36" s="22">
        <v>0</v>
      </c>
      <c r="E36" s="3">
        <v>4</v>
      </c>
    </row>
    <row r="37" spans="1:7" hidden="1" x14ac:dyDescent="0.25">
      <c r="A37" s="35" t="s">
        <v>257</v>
      </c>
      <c r="B37" s="23">
        <v>0</v>
      </c>
      <c r="C37" s="21"/>
      <c r="D37" s="22">
        <v>0</v>
      </c>
    </row>
    <row r="38" spans="1:7" hidden="1" x14ac:dyDescent="0.25">
      <c r="A38" s="35" t="s">
        <v>258</v>
      </c>
      <c r="B38" s="23">
        <v>0</v>
      </c>
      <c r="C38" s="21"/>
      <c r="D38" s="22">
        <v>0</v>
      </c>
    </row>
    <row r="39" spans="1:7" hidden="1" x14ac:dyDescent="0.25">
      <c r="A39" s="35" t="s">
        <v>259</v>
      </c>
      <c r="B39" s="23">
        <v>0</v>
      </c>
      <c r="C39" s="21"/>
      <c r="D39" s="22">
        <v>0</v>
      </c>
    </row>
    <row r="40" spans="1:7" hidden="1" x14ac:dyDescent="0.25">
      <c r="A40" s="35" t="s">
        <v>312</v>
      </c>
      <c r="B40" s="23">
        <v>0</v>
      </c>
      <c r="C40" s="21"/>
      <c r="D40" s="22"/>
    </row>
    <row r="41" spans="1:7" hidden="1" x14ac:dyDescent="0.25">
      <c r="A41" s="35" t="s">
        <v>313</v>
      </c>
      <c r="B41" s="23">
        <v>0</v>
      </c>
      <c r="C41" s="21"/>
      <c r="D41" s="22"/>
    </row>
    <row r="42" spans="1:7" s="34" customFormat="1" ht="47.25" x14ac:dyDescent="0.25">
      <c r="A42" s="31" t="s">
        <v>261</v>
      </c>
      <c r="B42" s="32">
        <f>SUM(B43:B45)</f>
        <v>20951.550000000003</v>
      </c>
      <c r="C42" s="21"/>
      <c r="D42" s="22"/>
      <c r="E42" s="33"/>
      <c r="F42" s="33"/>
      <c r="G42" s="33"/>
    </row>
    <row r="43" spans="1:7" x14ac:dyDescent="0.25">
      <c r="A43" s="35" t="s">
        <v>262</v>
      </c>
      <c r="B43" s="20">
        <v>264.55</v>
      </c>
      <c r="C43" s="39"/>
      <c r="D43" s="40"/>
    </row>
    <row r="44" spans="1:7" x14ac:dyDescent="0.25">
      <c r="A44" s="35" t="s">
        <v>263</v>
      </c>
      <c r="B44" s="20">
        <v>527</v>
      </c>
      <c r="C44" s="39"/>
      <c r="D44" s="40"/>
    </row>
    <row r="45" spans="1:7" x14ac:dyDescent="0.25">
      <c r="A45" s="41" t="s">
        <v>264</v>
      </c>
      <c r="B45" s="20">
        <f>18000*1.12</f>
        <v>20160.000000000004</v>
      </c>
      <c r="C45" s="39"/>
      <c r="D45" s="40"/>
    </row>
    <row r="46" spans="1:7" s="8" customFormat="1" x14ac:dyDescent="0.25">
      <c r="A46" s="31" t="s">
        <v>265</v>
      </c>
      <c r="B46" s="32">
        <f>SUM(B47:B64)</f>
        <v>40856.660000000003</v>
      </c>
      <c r="C46" s="21"/>
      <c r="D46" s="22"/>
    </row>
    <row r="47" spans="1:7" x14ac:dyDescent="0.25">
      <c r="A47" s="35" t="s">
        <v>266</v>
      </c>
      <c r="B47" s="20">
        <v>2046.44</v>
      </c>
      <c r="C47" s="21"/>
      <c r="D47" s="22"/>
      <c r="E47" s="3" t="s">
        <v>267</v>
      </c>
    </row>
    <row r="48" spans="1:7" hidden="1" x14ac:dyDescent="0.25">
      <c r="A48" s="35" t="s">
        <v>268</v>
      </c>
      <c r="B48" s="23">
        <v>0</v>
      </c>
      <c r="C48" s="21"/>
      <c r="D48" s="22"/>
      <c r="E48" s="3" t="s">
        <v>269</v>
      </c>
    </row>
    <row r="49" spans="1:5" hidden="1" x14ac:dyDescent="0.25">
      <c r="A49" s="42" t="s">
        <v>270</v>
      </c>
      <c r="B49" s="22">
        <v>0</v>
      </c>
      <c r="C49" s="21"/>
      <c r="D49" s="22"/>
    </row>
    <row r="50" spans="1:5" hidden="1" x14ac:dyDescent="0.25">
      <c r="A50" s="42" t="s">
        <v>271</v>
      </c>
      <c r="B50" s="22">
        <v>0</v>
      </c>
      <c r="C50" s="21"/>
      <c r="D50" s="22"/>
    </row>
    <row r="51" spans="1:5" hidden="1" x14ac:dyDescent="0.25">
      <c r="A51" s="42" t="s">
        <v>272</v>
      </c>
      <c r="B51" s="22">
        <v>0</v>
      </c>
      <c r="C51" s="21"/>
      <c r="D51" s="22"/>
    </row>
    <row r="52" spans="1:5" x14ac:dyDescent="0.25">
      <c r="A52" s="42" t="s">
        <v>268</v>
      </c>
      <c r="B52" s="43">
        <v>6127.14</v>
      </c>
      <c r="C52" s="21"/>
      <c r="D52" s="22"/>
    </row>
    <row r="53" spans="1:5" hidden="1" x14ac:dyDescent="0.25">
      <c r="A53" s="42" t="s">
        <v>348</v>
      </c>
      <c r="B53" s="20"/>
      <c r="C53" s="21">
        <v>0</v>
      </c>
      <c r="D53" s="22">
        <v>522.99</v>
      </c>
    </row>
    <row r="54" spans="1:5" x14ac:dyDescent="0.25">
      <c r="A54" s="42" t="s">
        <v>275</v>
      </c>
      <c r="B54" s="20">
        <v>6100</v>
      </c>
      <c r="C54" s="21">
        <v>1</v>
      </c>
      <c r="D54" s="44">
        <v>700.55</v>
      </c>
    </row>
    <row r="55" spans="1:5" hidden="1" x14ac:dyDescent="0.25">
      <c r="A55" s="42" t="s">
        <v>276</v>
      </c>
      <c r="B55" s="23">
        <v>0</v>
      </c>
      <c r="C55" s="21"/>
      <c r="D55" s="44"/>
    </row>
    <row r="56" spans="1:5" hidden="1" x14ac:dyDescent="0.25">
      <c r="A56" s="42" t="s">
        <v>277</v>
      </c>
      <c r="B56" s="23">
        <v>0</v>
      </c>
      <c r="C56" s="21">
        <v>0</v>
      </c>
      <c r="D56" s="22">
        <f>10695.76/1.18</f>
        <v>9064.203389830509</v>
      </c>
    </row>
    <row r="57" spans="1:5" hidden="1" x14ac:dyDescent="0.25">
      <c r="A57" s="42" t="s">
        <v>350</v>
      </c>
      <c r="B57" s="20"/>
      <c r="C57" s="21">
        <v>0</v>
      </c>
      <c r="D57" s="22">
        <f>2300/1.18</f>
        <v>1949.1525423728815</v>
      </c>
    </row>
    <row r="58" spans="1:5" x14ac:dyDescent="0.25">
      <c r="A58" s="42" t="s">
        <v>542</v>
      </c>
      <c r="B58" s="20">
        <v>4200</v>
      </c>
      <c r="C58" s="21">
        <v>0</v>
      </c>
      <c r="D58" s="22">
        <v>0</v>
      </c>
    </row>
    <row r="59" spans="1:5" hidden="1" x14ac:dyDescent="0.25">
      <c r="A59" s="35" t="s">
        <v>280</v>
      </c>
      <c r="B59" s="23">
        <v>0</v>
      </c>
      <c r="C59" s="21"/>
      <c r="D59" s="22"/>
    </row>
    <row r="60" spans="1:5" hidden="1" x14ac:dyDescent="0.25">
      <c r="A60" s="35" t="s">
        <v>281</v>
      </c>
      <c r="B60" s="23">
        <v>0</v>
      </c>
      <c r="C60" s="21"/>
      <c r="D60" s="22">
        <v>0</v>
      </c>
    </row>
    <row r="61" spans="1:5" hidden="1" x14ac:dyDescent="0.25">
      <c r="A61" s="35" t="s">
        <v>352</v>
      </c>
      <c r="B61" s="20"/>
      <c r="C61" s="21"/>
      <c r="D61" s="22">
        <v>0</v>
      </c>
    </row>
    <row r="62" spans="1:5" x14ac:dyDescent="0.25">
      <c r="A62" s="35" t="s">
        <v>283</v>
      </c>
      <c r="B62" s="45">
        <v>22350.74</v>
      </c>
      <c r="C62" s="46">
        <v>1</v>
      </c>
      <c r="D62" s="22">
        <v>0</v>
      </c>
    </row>
    <row r="63" spans="1:5" hidden="1" x14ac:dyDescent="0.25">
      <c r="A63" s="35" t="s">
        <v>284</v>
      </c>
      <c r="B63" s="47">
        <v>0</v>
      </c>
      <c r="C63" s="46">
        <v>70</v>
      </c>
      <c r="D63" s="22">
        <v>2</v>
      </c>
      <c r="E63" s="3">
        <v>0</v>
      </c>
    </row>
    <row r="64" spans="1:5" x14ac:dyDescent="0.25">
      <c r="A64" s="35" t="s">
        <v>282</v>
      </c>
      <c r="B64" s="45">
        <v>32.340000000000003</v>
      </c>
      <c r="C64" s="48">
        <v>70</v>
      </c>
      <c r="D64" s="40">
        <v>560</v>
      </c>
    </row>
    <row r="65" spans="1:4" s="8" customFormat="1" x14ac:dyDescent="0.25">
      <c r="A65" s="49" t="s">
        <v>286</v>
      </c>
      <c r="B65" s="32">
        <f>SUM(B66:B73)</f>
        <v>206465.28000000003</v>
      </c>
      <c r="C65" s="39"/>
      <c r="D65" s="40"/>
    </row>
    <row r="66" spans="1:4" hidden="1" x14ac:dyDescent="0.25">
      <c r="A66" s="35" t="s">
        <v>287</v>
      </c>
      <c r="B66" s="23">
        <v>0</v>
      </c>
      <c r="C66" s="39"/>
      <c r="D66" s="40"/>
    </row>
    <row r="67" spans="1:4" x14ac:dyDescent="0.25">
      <c r="A67" s="35" t="s">
        <v>288</v>
      </c>
      <c r="B67" s="20">
        <f>65500*1.04*1.12</f>
        <v>76294.400000000009</v>
      </c>
      <c r="C67" s="39"/>
      <c r="D67" s="40"/>
    </row>
    <row r="68" spans="1:4" hidden="1" x14ac:dyDescent="0.25">
      <c r="A68" s="35" t="s">
        <v>289</v>
      </c>
      <c r="B68" s="23">
        <v>0</v>
      </c>
      <c r="C68" s="39"/>
      <c r="D68" s="40"/>
    </row>
    <row r="69" spans="1:4" x14ac:dyDescent="0.25">
      <c r="A69" s="41" t="s">
        <v>290</v>
      </c>
      <c r="B69" s="20">
        <f>3000*1.12</f>
        <v>3360.0000000000005</v>
      </c>
      <c r="C69" s="39"/>
      <c r="D69" s="40"/>
    </row>
    <row r="70" spans="1:4" x14ac:dyDescent="0.25">
      <c r="A70" s="41" t="s">
        <v>291</v>
      </c>
      <c r="B70" s="20">
        <f>19000*1.12</f>
        <v>21280.000000000004</v>
      </c>
      <c r="C70" s="39"/>
      <c r="D70" s="40"/>
    </row>
    <row r="71" spans="1:4" x14ac:dyDescent="0.25">
      <c r="A71" s="41" t="s">
        <v>292</v>
      </c>
      <c r="B71" s="20">
        <f>35000*1.04*1.12</f>
        <v>40768.000000000007</v>
      </c>
      <c r="C71" s="39"/>
      <c r="D71" s="40"/>
    </row>
    <row r="72" spans="1:4" x14ac:dyDescent="0.25">
      <c r="A72" s="41" t="s">
        <v>293</v>
      </c>
      <c r="B72" s="20">
        <f>6000*1.04*1.12</f>
        <v>6988.8000000000011</v>
      </c>
      <c r="C72" s="39"/>
      <c r="D72" s="40"/>
    </row>
    <row r="73" spans="1:4" x14ac:dyDescent="0.25">
      <c r="A73" s="41" t="s">
        <v>294</v>
      </c>
      <c r="B73" s="20">
        <f>49600*1.04*1.12</f>
        <v>57774.080000000009</v>
      </c>
      <c r="C73" s="39"/>
      <c r="D73" s="40"/>
    </row>
    <row r="74" spans="1:4" ht="63" x14ac:dyDescent="0.25">
      <c r="A74" s="50" t="s">
        <v>295</v>
      </c>
      <c r="B74" s="32">
        <f>SUM(B75:B75)</f>
        <v>115360.00000000001</v>
      </c>
      <c r="C74" s="39"/>
      <c r="D74" s="40"/>
    </row>
    <row r="75" spans="1:4" x14ac:dyDescent="0.25">
      <c r="A75" s="41" t="s">
        <v>296</v>
      </c>
      <c r="B75" s="20">
        <f>103000*1.12</f>
        <v>115360.00000000001</v>
      </c>
      <c r="C75" s="39"/>
      <c r="D75" s="40"/>
    </row>
    <row r="76" spans="1:4" s="8" customFormat="1" x14ac:dyDescent="0.25">
      <c r="A76" s="49" t="s">
        <v>297</v>
      </c>
      <c r="B76" s="32">
        <f>SUM(B77:B80)</f>
        <v>100249.04000000001</v>
      </c>
      <c r="C76" s="39"/>
      <c r="D76" s="40"/>
    </row>
    <row r="77" spans="1:4" x14ac:dyDescent="0.25">
      <c r="A77" s="51" t="s">
        <v>298</v>
      </c>
      <c r="B77" s="20">
        <f>73000*1.12</f>
        <v>81760.000000000015</v>
      </c>
      <c r="C77" s="39"/>
      <c r="D77" s="40"/>
    </row>
    <row r="78" spans="1:4" hidden="1" x14ac:dyDescent="0.25">
      <c r="A78" s="51" t="s">
        <v>299</v>
      </c>
      <c r="B78" s="23">
        <f>(B26/1.2)*30%</f>
        <v>0</v>
      </c>
      <c r="C78" s="39"/>
      <c r="D78" s="40"/>
    </row>
    <row r="79" spans="1:4" ht="15" customHeight="1" x14ac:dyDescent="0.25">
      <c r="A79" s="52" t="s">
        <v>300</v>
      </c>
      <c r="B79" s="20">
        <f>8409.04</f>
        <v>8409.0400000000009</v>
      </c>
      <c r="C79" s="39"/>
      <c r="D79" s="40"/>
    </row>
    <row r="80" spans="1:4" x14ac:dyDescent="0.25">
      <c r="A80" s="52" t="s">
        <v>301</v>
      </c>
      <c r="B80" s="20">
        <f>9000*1.12</f>
        <v>10080.000000000002</v>
      </c>
      <c r="C80" s="39"/>
      <c r="D80" s="40"/>
    </row>
    <row r="81" spans="1:4" x14ac:dyDescent="0.25">
      <c r="A81" s="53" t="s">
        <v>302</v>
      </c>
      <c r="B81" s="25">
        <f>B32+B42+B46+B65+B74+B76</f>
        <v>629293.79946699296</v>
      </c>
      <c r="C81" s="39"/>
      <c r="D81" s="40"/>
    </row>
    <row r="82" spans="1:4" x14ac:dyDescent="0.25">
      <c r="A82" s="54" t="s">
        <v>303</v>
      </c>
      <c r="B82" s="20">
        <f>B81*0.03</f>
        <v>18878.813984009787</v>
      </c>
      <c r="C82" s="39"/>
      <c r="D82" s="40"/>
    </row>
    <row r="83" spans="1:4" s="34" customFormat="1" x14ac:dyDescent="0.25">
      <c r="A83" s="55" t="s">
        <v>304</v>
      </c>
      <c r="B83" s="32">
        <f>B81+B82</f>
        <v>648172.61345100275</v>
      </c>
      <c r="C83" s="39"/>
      <c r="D83" s="40"/>
    </row>
    <row r="84" spans="1:4" ht="16.5" thickBot="1" x14ac:dyDescent="0.3">
      <c r="A84" s="56" t="s">
        <v>305</v>
      </c>
      <c r="B84" s="57">
        <f>B83*0.2</f>
        <v>129634.52269020055</v>
      </c>
      <c r="C84" s="39"/>
      <c r="D84" s="40"/>
    </row>
    <row r="85" spans="1:4" s="8" customFormat="1" ht="16.5" thickBot="1" x14ac:dyDescent="0.3">
      <c r="A85" s="58" t="s">
        <v>306</v>
      </c>
      <c r="B85" s="59">
        <f>B83+B84</f>
        <v>777807.13614120334</v>
      </c>
      <c r="C85" s="60"/>
      <c r="D85" s="61"/>
    </row>
    <row r="86" spans="1:4" s="8" customFormat="1" ht="16.5" thickBot="1" x14ac:dyDescent="0.3">
      <c r="A86" s="62" t="s">
        <v>307</v>
      </c>
      <c r="B86" s="59">
        <f>B10+B24+B26+B28+B29-B85</f>
        <v>-847427.16614120337</v>
      </c>
      <c r="C86" s="63"/>
      <c r="D86" s="63"/>
    </row>
    <row r="87" spans="1:4" s="8" customFormat="1" ht="16.5" thickBot="1" x14ac:dyDescent="0.3">
      <c r="A87" s="64" t="s">
        <v>308</v>
      </c>
      <c r="B87" s="296">
        <f>B10+B25+B27++B28+B29-B85</f>
        <v>-850900.12614120333</v>
      </c>
      <c r="C87" s="63"/>
      <c r="D87" s="63"/>
    </row>
    <row r="88" spans="1:4" s="8" customFormat="1" ht="16.5" hidden="1" thickBot="1" x14ac:dyDescent="0.3">
      <c r="A88" s="65" t="s">
        <v>309</v>
      </c>
      <c r="B88" s="66">
        <f>B11+B24-B25</f>
        <v>3472.960000000021</v>
      </c>
      <c r="C88" s="63"/>
      <c r="D88" s="63"/>
    </row>
    <row r="89" spans="1:4" s="8" customFormat="1" hidden="1" x14ac:dyDescent="0.25">
      <c r="A89" s="67"/>
      <c r="B89" s="68"/>
      <c r="C89" s="63"/>
      <c r="D89" s="63"/>
    </row>
    <row r="90" spans="1:4" x14ac:dyDescent="0.25">
      <c r="A90" s="69"/>
    </row>
    <row r="91" spans="1:4" x14ac:dyDescent="0.25">
      <c r="A91" s="309" t="s">
        <v>310</v>
      </c>
      <c r="B91" s="310"/>
    </row>
    <row r="92" spans="1:4" x14ac:dyDescent="0.25">
      <c r="A92" s="69"/>
      <c r="B92" s="71"/>
    </row>
    <row r="93" spans="1:4" x14ac:dyDescent="0.25">
      <c r="A93" s="311"/>
      <c r="B93" s="312"/>
      <c r="C93" s="72"/>
    </row>
  </sheetData>
  <autoFilter ref="A32:B88" xr:uid="{00000000-0009-0000-0000-000012000000}">
    <filterColumn colId="1">
      <filters>
        <filter val="10 024,63"/>
        <filter val="100 365,13"/>
        <filter val="11 134,98"/>
        <filter val="110 206,88"/>
        <filter val="16 049,55"/>
        <filter val="169 090,97"/>
        <filter val="20 051,89"/>
        <filter val="20 438,34"/>
        <filter val="3 795,92"/>
        <filter val="30 313,46"/>
        <filter val="31 867,56"/>
        <filter val="33 794,80"/>
        <filter val="37 010,53"/>
        <filter val="4 574,36"/>
        <filter val="4 989,67"/>
        <filter val="42 916,26"/>
        <filter val="44 240,00"/>
        <filter val="46 265,73"/>
        <filter val="46 973,40"/>
        <filter val="5 745,29"/>
        <filter val="534 984,84"/>
        <filter val="551 034,39"/>
        <filter val="6 172,98"/>
        <filter val="61 468,49"/>
        <filter val="-62 652,09"/>
        <filter val="65 470,26"/>
        <filter val="661 241,27"/>
        <filter val="781,36"/>
        <filter val="8 705,64"/>
        <filter val="-82 703,98"/>
        <filter val="9 538,57"/>
        <filter val="9 920,72"/>
        <filter val="90 623,84"/>
      </filters>
    </filterColumn>
  </autoFilter>
  <mergeCells count="9">
    <mergeCell ref="D8:D9"/>
    <mergeCell ref="A91:B91"/>
    <mergeCell ref="A93:B93"/>
    <mergeCell ref="A1:B1"/>
    <mergeCell ref="A2:B2"/>
    <mergeCell ref="A3:B3"/>
    <mergeCell ref="A8:A9"/>
    <mergeCell ref="B8:B9"/>
    <mergeCell ref="C8:C9"/>
  </mergeCells>
  <phoneticPr fontId="43" type="noConversion"/>
  <pageMargins left="0.70866141732283472" right="0.70866141732283472" top="0.74803149606299213" bottom="0.74803149606299213" header="0.31496062992125984" footer="0.31496062992125984"/>
  <pageSetup paperSize="9" scale="7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  <pageSetUpPr fitToPage="1"/>
  </sheetPr>
  <dimension ref="M1:T168"/>
  <sheetViews>
    <sheetView topLeftCell="A4" workbookViewId="0">
      <selection activeCell="A47" sqref="A47"/>
    </sheetView>
  </sheetViews>
  <sheetFormatPr defaultRowHeight="12.75" x14ac:dyDescent="0.2"/>
  <cols>
    <col min="1" max="12" width="2" customWidth="1"/>
    <col min="14" max="14" width="29.5703125" customWidth="1"/>
    <col min="19" max="20" width="20.85546875" customWidth="1"/>
  </cols>
  <sheetData>
    <row r="1" spans="13:20" x14ac:dyDescent="0.2">
      <c r="M1" s="2"/>
      <c r="N1" s="2" t="s">
        <v>0</v>
      </c>
      <c r="O1" s="2" t="s">
        <v>223</v>
      </c>
      <c r="P1" s="2" t="s">
        <v>223</v>
      </c>
      <c r="Q1" s="2" t="s">
        <v>223</v>
      </c>
      <c r="S1">
        <v>2</v>
      </c>
      <c r="T1" s="306" t="s">
        <v>539</v>
      </c>
    </row>
    <row r="2" spans="13:20" x14ac:dyDescent="0.2">
      <c r="M2" s="2">
        <v>1</v>
      </c>
      <c r="N2" s="2" t="s">
        <v>2</v>
      </c>
      <c r="O2" s="2"/>
      <c r="P2" s="2"/>
      <c r="Q2" s="2"/>
      <c r="S2" t="s">
        <v>2</v>
      </c>
      <c r="T2">
        <v>-44045.2</v>
      </c>
    </row>
    <row r="3" spans="13:20" x14ac:dyDescent="0.2">
      <c r="M3" s="2">
        <v>2</v>
      </c>
      <c r="N3" s="2" t="s">
        <v>3</v>
      </c>
      <c r="O3" s="2"/>
      <c r="P3" s="2"/>
      <c r="Q3" s="2"/>
      <c r="S3" t="s">
        <v>3</v>
      </c>
      <c r="T3">
        <v>35053.72</v>
      </c>
    </row>
    <row r="4" spans="13:20" x14ac:dyDescent="0.2">
      <c r="M4" s="2">
        <v>3</v>
      </c>
      <c r="N4" s="2" t="s">
        <v>4</v>
      </c>
      <c r="O4" s="2"/>
      <c r="P4" s="2"/>
      <c r="Q4" s="2"/>
      <c r="S4" t="s">
        <v>4</v>
      </c>
      <c r="T4">
        <v>481277.43</v>
      </c>
    </row>
    <row r="5" spans="13:20" x14ac:dyDescent="0.2">
      <c r="M5" s="2">
        <v>4</v>
      </c>
      <c r="N5" s="2" t="s">
        <v>19</v>
      </c>
      <c r="O5" s="2"/>
      <c r="P5" s="2"/>
      <c r="Q5" s="2"/>
      <c r="S5" t="s">
        <v>5</v>
      </c>
      <c r="T5">
        <v>-463369.00089299073</v>
      </c>
    </row>
    <row r="6" spans="13:20" x14ac:dyDescent="0.2">
      <c r="M6" s="2">
        <v>5</v>
      </c>
      <c r="N6" s="2" t="s">
        <v>20</v>
      </c>
      <c r="O6" s="2"/>
      <c r="P6" s="2"/>
      <c r="Q6" s="2"/>
      <c r="S6" t="s">
        <v>18</v>
      </c>
      <c r="T6">
        <v>-127853.61238641897</v>
      </c>
    </row>
    <row r="7" spans="13:20" x14ac:dyDescent="0.2">
      <c r="M7" s="2">
        <v>6</v>
      </c>
      <c r="N7" s="2" t="s">
        <v>21</v>
      </c>
      <c r="O7" s="2"/>
      <c r="P7" s="2"/>
      <c r="Q7" s="2"/>
      <c r="S7" t="s">
        <v>19</v>
      </c>
      <c r="T7">
        <v>-342540.9</v>
      </c>
    </row>
    <row r="8" spans="13:20" x14ac:dyDescent="0.2">
      <c r="M8" s="2">
        <v>7</v>
      </c>
      <c r="N8" s="2" t="s">
        <v>23</v>
      </c>
      <c r="O8" s="2"/>
      <c r="P8" s="2"/>
      <c r="Q8" s="2"/>
      <c r="S8" t="s">
        <v>20</v>
      </c>
      <c r="T8">
        <v>3352010.6855650614</v>
      </c>
    </row>
    <row r="9" spans="13:20" x14ac:dyDescent="0.2">
      <c r="M9" s="2">
        <v>8</v>
      </c>
      <c r="N9" s="2" t="s">
        <v>24</v>
      </c>
      <c r="O9" s="2"/>
      <c r="P9" s="2"/>
      <c r="Q9" s="2"/>
      <c r="S9" t="s">
        <v>21</v>
      </c>
      <c r="T9">
        <v>-826714.27</v>
      </c>
    </row>
    <row r="10" spans="13:20" x14ac:dyDescent="0.2">
      <c r="M10" s="2">
        <v>9</v>
      </c>
      <c r="N10" s="2" t="s">
        <v>26</v>
      </c>
      <c r="O10" s="2"/>
      <c r="P10" s="2"/>
      <c r="Q10" s="2"/>
      <c r="S10" t="s">
        <v>23</v>
      </c>
      <c r="T10">
        <v>-1090188.01</v>
      </c>
    </row>
    <row r="11" spans="13:20" x14ac:dyDescent="0.2">
      <c r="M11" s="2">
        <v>10</v>
      </c>
      <c r="N11" s="2" t="s">
        <v>28</v>
      </c>
      <c r="O11" s="2"/>
      <c r="P11" s="2"/>
      <c r="Q11" s="2"/>
      <c r="S11" t="s">
        <v>24</v>
      </c>
      <c r="T11">
        <v>-894526.52</v>
      </c>
    </row>
    <row r="12" spans="13:20" x14ac:dyDescent="0.2">
      <c r="M12" s="2">
        <v>11</v>
      </c>
      <c r="N12" s="2" t="s">
        <v>29</v>
      </c>
      <c r="O12" s="2"/>
      <c r="P12" s="2"/>
      <c r="Q12" s="2"/>
      <c r="S12" t="s">
        <v>26</v>
      </c>
      <c r="T12">
        <v>-744046.22</v>
      </c>
    </row>
    <row r="13" spans="13:20" x14ac:dyDescent="0.2">
      <c r="M13" s="2">
        <v>12</v>
      </c>
      <c r="N13" s="2" t="s">
        <v>30</v>
      </c>
      <c r="O13" s="2"/>
      <c r="P13" s="2"/>
      <c r="Q13" s="2"/>
      <c r="S13" t="s">
        <v>27</v>
      </c>
      <c r="T13">
        <v>-279058.85856726754</v>
      </c>
    </row>
    <row r="14" spans="13:20" x14ac:dyDescent="0.2">
      <c r="M14" s="2">
        <v>13</v>
      </c>
      <c r="N14" s="2" t="s">
        <v>32</v>
      </c>
      <c r="O14" s="2"/>
      <c r="P14" s="2"/>
      <c r="Q14" s="2"/>
      <c r="S14" t="s">
        <v>28</v>
      </c>
      <c r="T14">
        <v>-1075857.1200000001</v>
      </c>
    </row>
    <row r="15" spans="13:20" x14ac:dyDescent="0.2">
      <c r="M15" s="2">
        <v>14</v>
      </c>
      <c r="N15" s="2" t="s">
        <v>33</v>
      </c>
      <c r="O15" s="2"/>
      <c r="P15" s="2"/>
      <c r="Q15" s="2"/>
      <c r="S15" t="s">
        <v>29</v>
      </c>
      <c r="T15">
        <v>-621404.9</v>
      </c>
    </row>
    <row r="16" spans="13:20" x14ac:dyDescent="0.2">
      <c r="M16" s="2">
        <v>15</v>
      </c>
      <c r="N16" s="2" t="s">
        <v>34</v>
      </c>
      <c r="O16" s="2"/>
      <c r="P16" s="2"/>
      <c r="Q16" s="2"/>
      <c r="S16" t="s">
        <v>30</v>
      </c>
      <c r="T16">
        <v>-208131.06</v>
      </c>
    </row>
    <row r="17" spans="13:20" x14ac:dyDescent="0.2">
      <c r="M17" s="2">
        <v>16</v>
      </c>
      <c r="N17" s="2" t="s">
        <v>35</v>
      </c>
      <c r="O17" s="2"/>
      <c r="P17" s="2"/>
      <c r="Q17" s="2"/>
      <c r="S17" t="s">
        <v>31</v>
      </c>
      <c r="T17">
        <v>-864408.25874220463</v>
      </c>
    </row>
    <row r="18" spans="13:20" x14ac:dyDescent="0.2">
      <c r="M18" s="2">
        <v>17</v>
      </c>
      <c r="N18" s="2" t="s">
        <v>36</v>
      </c>
      <c r="O18" s="2"/>
      <c r="P18" s="2"/>
      <c r="Q18" s="2"/>
      <c r="S18" t="s">
        <v>32</v>
      </c>
      <c r="T18">
        <v>653423.11</v>
      </c>
    </row>
    <row r="19" spans="13:20" x14ac:dyDescent="0.2">
      <c r="M19" s="2">
        <v>18</v>
      </c>
      <c r="N19" s="2" t="s">
        <v>42</v>
      </c>
      <c r="O19" s="2"/>
      <c r="P19" s="2"/>
      <c r="Q19" s="2"/>
      <c r="S19" t="s">
        <v>33</v>
      </c>
      <c r="T19">
        <v>-474061.69</v>
      </c>
    </row>
    <row r="20" spans="13:20" x14ac:dyDescent="0.2">
      <c r="M20" s="2">
        <v>19</v>
      </c>
      <c r="N20" s="2" t="s">
        <v>44</v>
      </c>
      <c r="O20" s="2"/>
      <c r="P20" s="2"/>
      <c r="Q20" s="2"/>
      <c r="S20" t="s">
        <v>34</v>
      </c>
      <c r="T20">
        <v>-1015579.49</v>
      </c>
    </row>
    <row r="21" spans="13:20" x14ac:dyDescent="0.2">
      <c r="M21" s="2">
        <v>20</v>
      </c>
      <c r="N21" s="2" t="s">
        <v>57</v>
      </c>
      <c r="O21" s="2"/>
      <c r="P21" s="2"/>
      <c r="Q21" s="2"/>
      <c r="S21" t="s">
        <v>35</v>
      </c>
      <c r="T21">
        <v>-569747.93000000005</v>
      </c>
    </row>
    <row r="22" spans="13:20" x14ac:dyDescent="0.2">
      <c r="M22" s="2">
        <v>21</v>
      </c>
      <c r="N22" s="2" t="s">
        <v>59</v>
      </c>
      <c r="O22" s="2"/>
      <c r="P22" s="2"/>
      <c r="Q22" s="2"/>
      <c r="S22" t="s">
        <v>36</v>
      </c>
      <c r="T22">
        <v>-1135029.23</v>
      </c>
    </row>
    <row r="23" spans="13:20" x14ac:dyDescent="0.2">
      <c r="M23" s="2">
        <v>22</v>
      </c>
      <c r="N23" s="2" t="s">
        <v>77</v>
      </c>
      <c r="O23" s="2"/>
      <c r="P23" s="2"/>
      <c r="Q23" s="2"/>
      <c r="S23" t="s">
        <v>38</v>
      </c>
      <c r="T23">
        <v>-531122.32771860028</v>
      </c>
    </row>
    <row r="24" spans="13:20" x14ac:dyDescent="0.2">
      <c r="M24" s="2">
        <v>23</v>
      </c>
      <c r="N24" s="2" t="s">
        <v>78</v>
      </c>
      <c r="O24" s="2"/>
      <c r="P24" s="2"/>
      <c r="Q24" s="2"/>
      <c r="S24" t="s">
        <v>39</v>
      </c>
      <c r="T24">
        <v>-499838.93753722531</v>
      </c>
    </row>
    <row r="25" spans="13:20" x14ac:dyDescent="0.2">
      <c r="M25" s="2">
        <v>24</v>
      </c>
      <c r="N25" s="2" t="s">
        <v>79</v>
      </c>
      <c r="O25" s="2"/>
      <c r="P25" s="2"/>
      <c r="Q25" s="2"/>
      <c r="S25" t="s">
        <v>42</v>
      </c>
      <c r="T25">
        <v>123055.34</v>
      </c>
    </row>
    <row r="26" spans="13:20" x14ac:dyDescent="0.2">
      <c r="M26" s="2">
        <v>25</v>
      </c>
      <c r="N26" s="2" t="s">
        <v>80</v>
      </c>
      <c r="O26" s="2"/>
      <c r="P26" s="2"/>
      <c r="Q26" s="2"/>
      <c r="S26" t="s">
        <v>44</v>
      </c>
      <c r="T26">
        <v>-1116645.2</v>
      </c>
    </row>
    <row r="27" spans="13:20" x14ac:dyDescent="0.2">
      <c r="M27" s="2">
        <v>26</v>
      </c>
      <c r="N27" s="2" t="s">
        <v>81</v>
      </c>
      <c r="O27" s="2"/>
      <c r="P27" s="2"/>
      <c r="Q27" s="2"/>
      <c r="S27" t="s">
        <v>45</v>
      </c>
      <c r="T27">
        <v>-353554.05855973565</v>
      </c>
    </row>
    <row r="28" spans="13:20" x14ac:dyDescent="0.2">
      <c r="M28" s="2">
        <v>27</v>
      </c>
      <c r="N28" s="2" t="s">
        <v>82</v>
      </c>
      <c r="O28" s="2"/>
      <c r="P28" s="2"/>
      <c r="Q28" s="2"/>
      <c r="S28" t="s">
        <v>46</v>
      </c>
      <c r="T28">
        <v>-21459.589931140974</v>
      </c>
    </row>
    <row r="29" spans="13:20" x14ac:dyDescent="0.2">
      <c r="M29" s="2">
        <v>28</v>
      </c>
      <c r="N29" s="2" t="s">
        <v>83</v>
      </c>
      <c r="O29" s="2"/>
      <c r="P29" s="2"/>
      <c r="Q29" s="2"/>
      <c r="S29" t="s">
        <v>51</v>
      </c>
      <c r="T29">
        <v>-779769.13736000005</v>
      </c>
    </row>
    <row r="30" spans="13:20" x14ac:dyDescent="0.2">
      <c r="M30" s="2">
        <v>29</v>
      </c>
      <c r="N30" s="2" t="s">
        <v>84</v>
      </c>
      <c r="O30" s="2"/>
      <c r="P30" s="2"/>
      <c r="Q30" s="2"/>
      <c r="S30" t="s">
        <v>52</v>
      </c>
      <c r="T30">
        <v>-454224.68143194669</v>
      </c>
    </row>
    <row r="31" spans="13:20" x14ac:dyDescent="0.2">
      <c r="M31" s="2">
        <v>30</v>
      </c>
      <c r="N31" s="2" t="s">
        <v>85</v>
      </c>
      <c r="O31" s="2"/>
      <c r="P31" s="2"/>
      <c r="Q31" s="2"/>
      <c r="S31" t="s">
        <v>54</v>
      </c>
      <c r="T31">
        <v>-1222260.9060933986</v>
      </c>
    </row>
    <row r="32" spans="13:20" x14ac:dyDescent="0.2">
      <c r="M32" s="2">
        <v>31</v>
      </c>
      <c r="N32" s="2" t="s">
        <v>86</v>
      </c>
      <c r="O32" s="2"/>
      <c r="P32" s="2"/>
      <c r="Q32" s="2"/>
      <c r="S32" t="s">
        <v>55</v>
      </c>
      <c r="T32">
        <v>-435461.31541984255</v>
      </c>
    </row>
    <row r="33" spans="13:20" x14ac:dyDescent="0.2">
      <c r="M33" s="2">
        <v>32</v>
      </c>
      <c r="N33" s="2" t="s">
        <v>87</v>
      </c>
      <c r="O33" s="2"/>
      <c r="P33" s="2"/>
      <c r="Q33" s="2"/>
      <c r="S33" t="s">
        <v>56</v>
      </c>
      <c r="T33">
        <v>162995.04530169233</v>
      </c>
    </row>
    <row r="34" spans="13:20" x14ac:dyDescent="0.2">
      <c r="M34" s="2">
        <v>33</v>
      </c>
      <c r="N34" s="2" t="s">
        <v>91</v>
      </c>
      <c r="O34" s="2"/>
      <c r="P34" s="2"/>
      <c r="Q34" s="2"/>
      <c r="S34" t="s">
        <v>57</v>
      </c>
      <c r="T34">
        <v>-697119.92</v>
      </c>
    </row>
    <row r="35" spans="13:20" x14ac:dyDescent="0.2">
      <c r="M35" s="2">
        <v>34</v>
      </c>
      <c r="N35" s="2" t="s">
        <v>92</v>
      </c>
      <c r="O35" s="2"/>
      <c r="P35" s="2"/>
      <c r="Q35" s="2"/>
      <c r="S35" t="s">
        <v>59</v>
      </c>
      <c r="T35">
        <v>100060.05</v>
      </c>
    </row>
    <row r="36" spans="13:20" x14ac:dyDescent="0.2">
      <c r="M36" s="2">
        <v>35</v>
      </c>
      <c r="N36" s="2" t="s">
        <v>94</v>
      </c>
      <c r="O36" s="2"/>
      <c r="P36" s="2"/>
      <c r="Q36" s="2"/>
      <c r="S36" t="s">
        <v>60</v>
      </c>
      <c r="T36">
        <v>-214941.83744341118</v>
      </c>
    </row>
    <row r="37" spans="13:20" x14ac:dyDescent="0.2">
      <c r="M37" s="2">
        <v>36</v>
      </c>
      <c r="N37" s="2" t="s">
        <v>100</v>
      </c>
      <c r="O37" s="2"/>
      <c r="P37" s="2"/>
      <c r="Q37" s="2"/>
      <c r="S37" t="s">
        <v>61</v>
      </c>
      <c r="T37">
        <v>-126141.37226138728</v>
      </c>
    </row>
    <row r="38" spans="13:20" x14ac:dyDescent="0.2">
      <c r="M38" s="2">
        <v>37</v>
      </c>
      <c r="N38" s="2" t="s">
        <v>106</v>
      </c>
      <c r="O38" s="2"/>
      <c r="P38" s="2"/>
      <c r="Q38" s="2"/>
      <c r="S38" t="s">
        <v>63</v>
      </c>
      <c r="T38">
        <v>-11141.291466976099</v>
      </c>
    </row>
    <row r="39" spans="13:20" x14ac:dyDescent="0.2">
      <c r="M39" s="2">
        <v>38</v>
      </c>
      <c r="N39" s="2" t="s">
        <v>112</v>
      </c>
      <c r="O39" s="2"/>
      <c r="P39" s="2"/>
      <c r="Q39" s="2"/>
      <c r="S39" t="s">
        <v>64</v>
      </c>
      <c r="T39">
        <v>1824.8116494415008</v>
      </c>
    </row>
    <row r="40" spans="13:20" x14ac:dyDescent="0.2">
      <c r="M40" s="2">
        <v>39</v>
      </c>
      <c r="N40" s="2" t="s">
        <v>113</v>
      </c>
      <c r="O40" s="2"/>
      <c r="P40" s="2"/>
      <c r="Q40" s="2"/>
      <c r="S40" t="s">
        <v>65</v>
      </c>
      <c r="T40">
        <v>-2677.5136327080891</v>
      </c>
    </row>
    <row r="41" spans="13:20" x14ac:dyDescent="0.2">
      <c r="M41" s="2">
        <v>40</v>
      </c>
      <c r="N41" s="2" t="s">
        <v>114</v>
      </c>
      <c r="O41" s="2"/>
      <c r="P41" s="2"/>
      <c r="Q41" s="2"/>
      <c r="S41" t="s">
        <v>66</v>
      </c>
      <c r="T41">
        <v>80789.227427104386</v>
      </c>
    </row>
    <row r="42" spans="13:20" x14ac:dyDescent="0.2">
      <c r="M42" s="2">
        <v>41</v>
      </c>
      <c r="N42" s="2" t="s">
        <v>115</v>
      </c>
      <c r="O42" s="2"/>
      <c r="P42" s="2"/>
      <c r="Q42" s="2"/>
      <c r="S42" t="s">
        <v>77</v>
      </c>
      <c r="T42">
        <v>-1680557.45</v>
      </c>
    </row>
    <row r="43" spans="13:20" x14ac:dyDescent="0.2">
      <c r="M43" s="2">
        <v>42</v>
      </c>
      <c r="N43" s="2" t="s">
        <v>117</v>
      </c>
      <c r="O43" s="2"/>
      <c r="P43" s="2"/>
      <c r="Q43" s="2"/>
      <c r="S43" t="s">
        <v>78</v>
      </c>
      <c r="T43">
        <v>313019.05</v>
      </c>
    </row>
    <row r="44" spans="13:20" x14ac:dyDescent="0.2">
      <c r="M44" s="2">
        <v>43</v>
      </c>
      <c r="N44" s="2" t="s">
        <v>118</v>
      </c>
      <c r="O44" s="2"/>
      <c r="P44" s="2"/>
      <c r="Q44" s="2"/>
      <c r="S44" t="s">
        <v>79</v>
      </c>
      <c r="T44">
        <v>-257416.48</v>
      </c>
    </row>
    <row r="45" spans="13:20" x14ac:dyDescent="0.2">
      <c r="M45" s="2">
        <v>44</v>
      </c>
      <c r="N45" s="2" t="s">
        <v>119</v>
      </c>
      <c r="O45" s="2"/>
      <c r="P45" s="2"/>
      <c r="Q45" s="2"/>
      <c r="S45" t="s">
        <v>80</v>
      </c>
      <c r="T45">
        <v>-49574.95</v>
      </c>
    </row>
    <row r="46" spans="13:20" x14ac:dyDescent="0.2">
      <c r="M46" s="2">
        <v>45</v>
      </c>
      <c r="N46" s="2" t="s">
        <v>120</v>
      </c>
      <c r="O46" s="2"/>
      <c r="P46" s="2"/>
      <c r="Q46" s="2"/>
      <c r="S46" t="s">
        <v>81</v>
      </c>
      <c r="T46">
        <v>-359857.99</v>
      </c>
    </row>
    <row r="47" spans="13:20" x14ac:dyDescent="0.2">
      <c r="M47" s="2">
        <v>46</v>
      </c>
      <c r="N47" s="2" t="s">
        <v>121</v>
      </c>
      <c r="O47" s="2"/>
      <c r="P47" s="2"/>
      <c r="Q47" s="2"/>
      <c r="S47" t="s">
        <v>82</v>
      </c>
      <c r="T47">
        <v>-743441.91198596067</v>
      </c>
    </row>
    <row r="48" spans="13:20" x14ac:dyDescent="0.2">
      <c r="M48" s="2">
        <v>47</v>
      </c>
      <c r="N48" s="2" t="s">
        <v>122</v>
      </c>
      <c r="O48" s="2"/>
      <c r="P48" s="2"/>
      <c r="Q48" s="2"/>
      <c r="S48" t="s">
        <v>83</v>
      </c>
      <c r="T48">
        <v>-1425739.9</v>
      </c>
    </row>
    <row r="49" spans="13:20" x14ac:dyDescent="0.2">
      <c r="M49" s="2">
        <v>48</v>
      </c>
      <c r="N49" s="2" t="s">
        <v>123</v>
      </c>
      <c r="O49" s="2"/>
      <c r="P49" s="2"/>
      <c r="Q49" s="2"/>
      <c r="S49" t="s">
        <v>84</v>
      </c>
      <c r="T49">
        <v>-214047.25</v>
      </c>
    </row>
    <row r="50" spans="13:20" x14ac:dyDescent="0.2">
      <c r="M50" s="2">
        <v>49</v>
      </c>
      <c r="N50" s="2" t="s">
        <v>124</v>
      </c>
      <c r="O50" s="2"/>
      <c r="P50" s="2"/>
      <c r="Q50" s="2"/>
      <c r="S50" t="s">
        <v>85</v>
      </c>
      <c r="T50">
        <v>-1632155.7991833785</v>
      </c>
    </row>
    <row r="51" spans="13:20" x14ac:dyDescent="0.2">
      <c r="M51" s="2">
        <v>50</v>
      </c>
      <c r="N51" s="2" t="s">
        <v>125</v>
      </c>
      <c r="O51" s="2"/>
      <c r="P51" s="2"/>
      <c r="Q51" s="2"/>
      <c r="S51" t="s">
        <v>86</v>
      </c>
      <c r="T51">
        <v>-1323258.890604509</v>
      </c>
    </row>
    <row r="52" spans="13:20" x14ac:dyDescent="0.2">
      <c r="M52" s="2">
        <v>51</v>
      </c>
      <c r="N52" s="2" t="s">
        <v>126</v>
      </c>
      <c r="O52" s="2"/>
      <c r="P52" s="2"/>
      <c r="Q52" s="2"/>
      <c r="S52" t="s">
        <v>87</v>
      </c>
      <c r="T52">
        <v>-909005.02</v>
      </c>
    </row>
    <row r="53" spans="13:20" x14ac:dyDescent="0.2">
      <c r="M53" s="2">
        <v>52</v>
      </c>
      <c r="N53" s="2" t="s">
        <v>129</v>
      </c>
      <c r="O53" s="2"/>
      <c r="P53" s="2"/>
      <c r="Q53" s="2"/>
      <c r="S53" t="s">
        <v>91</v>
      </c>
      <c r="T53">
        <v>-560746.04</v>
      </c>
    </row>
    <row r="54" spans="13:20" x14ac:dyDescent="0.2">
      <c r="M54" s="2">
        <v>53</v>
      </c>
      <c r="N54" s="2" t="s">
        <v>130</v>
      </c>
      <c r="O54" s="2"/>
      <c r="P54" s="2"/>
      <c r="Q54" s="2"/>
      <c r="S54" t="s">
        <v>92</v>
      </c>
      <c r="T54">
        <v>-1380563.25</v>
      </c>
    </row>
    <row r="55" spans="13:20" x14ac:dyDescent="0.2">
      <c r="M55" s="2">
        <v>54</v>
      </c>
      <c r="N55" s="2" t="s">
        <v>131</v>
      </c>
      <c r="O55" s="2"/>
      <c r="P55" s="2"/>
      <c r="Q55" s="2"/>
      <c r="S55" t="s">
        <v>94</v>
      </c>
      <c r="T55">
        <v>-268861.08</v>
      </c>
    </row>
    <row r="56" spans="13:20" x14ac:dyDescent="0.2">
      <c r="M56" s="2">
        <v>55</v>
      </c>
      <c r="N56" s="2" t="s">
        <v>132</v>
      </c>
      <c r="O56" s="2"/>
      <c r="P56" s="2"/>
      <c r="Q56" s="2"/>
      <c r="S56" t="s">
        <v>95</v>
      </c>
      <c r="T56">
        <v>-319659.76488775574</v>
      </c>
    </row>
    <row r="57" spans="13:20" x14ac:dyDescent="0.2">
      <c r="M57" s="2">
        <v>56</v>
      </c>
      <c r="N57" s="2" t="s">
        <v>133</v>
      </c>
      <c r="O57" s="2"/>
      <c r="P57" s="2"/>
      <c r="Q57" s="2"/>
      <c r="S57" t="s">
        <v>97</v>
      </c>
      <c r="T57">
        <v>-272401.36364979134</v>
      </c>
    </row>
    <row r="58" spans="13:20" x14ac:dyDescent="0.2">
      <c r="M58" s="2">
        <v>57</v>
      </c>
      <c r="N58" s="2" t="s">
        <v>135</v>
      </c>
      <c r="O58" s="2"/>
      <c r="P58" s="2"/>
      <c r="Q58" s="2"/>
      <c r="S58" t="s">
        <v>98</v>
      </c>
      <c r="T58">
        <v>-410969.28247048514</v>
      </c>
    </row>
    <row r="59" spans="13:20" x14ac:dyDescent="0.2">
      <c r="M59" s="2">
        <v>58</v>
      </c>
      <c r="N59" s="2" t="s">
        <v>136</v>
      </c>
      <c r="O59" s="2"/>
      <c r="P59" s="2"/>
      <c r="Q59" s="2"/>
      <c r="S59" t="s">
        <v>100</v>
      </c>
      <c r="T59">
        <v>8273540.0199999996</v>
      </c>
    </row>
    <row r="60" spans="13:20" x14ac:dyDescent="0.2">
      <c r="M60" s="2">
        <v>59</v>
      </c>
      <c r="N60" s="2" t="s">
        <v>137</v>
      </c>
      <c r="O60" s="2"/>
      <c r="P60" s="2"/>
      <c r="Q60" s="2"/>
      <c r="S60" t="s">
        <v>103</v>
      </c>
      <c r="T60">
        <v>-484444.94</v>
      </c>
    </row>
    <row r="61" spans="13:20" x14ac:dyDescent="0.2">
      <c r="M61" s="2">
        <v>60</v>
      </c>
      <c r="N61" s="2" t="s">
        <v>138</v>
      </c>
      <c r="O61" s="2"/>
      <c r="P61" s="2"/>
      <c r="Q61" s="2"/>
      <c r="S61" t="s">
        <v>104</v>
      </c>
      <c r="T61">
        <v>-144173.69576292267</v>
      </c>
    </row>
    <row r="62" spans="13:20" x14ac:dyDescent="0.2">
      <c r="M62" s="2">
        <v>61</v>
      </c>
      <c r="N62" s="2" t="s">
        <v>139</v>
      </c>
      <c r="O62" s="2"/>
      <c r="P62" s="2"/>
      <c r="Q62" s="2"/>
      <c r="S62" t="s">
        <v>105</v>
      </c>
      <c r="T62">
        <v>-195627.76489757633</v>
      </c>
    </row>
    <row r="63" spans="13:20" x14ac:dyDescent="0.2">
      <c r="M63" s="2">
        <v>62</v>
      </c>
      <c r="N63" s="2" t="s">
        <v>140</v>
      </c>
      <c r="O63" s="2"/>
      <c r="P63" s="2"/>
      <c r="Q63" s="2"/>
      <c r="S63" t="s">
        <v>106</v>
      </c>
      <c r="T63">
        <v>-1105240.4099999999</v>
      </c>
    </row>
    <row r="64" spans="13:20" x14ac:dyDescent="0.2">
      <c r="M64" s="2">
        <v>63</v>
      </c>
      <c r="N64" s="2" t="s">
        <v>141</v>
      </c>
      <c r="O64" s="2"/>
      <c r="P64" s="2"/>
      <c r="Q64" s="2"/>
      <c r="S64" t="s">
        <v>109</v>
      </c>
      <c r="T64">
        <v>-236690.78978235432</v>
      </c>
    </row>
    <row r="65" spans="13:20" x14ac:dyDescent="0.2">
      <c r="M65" s="2">
        <v>64</v>
      </c>
      <c r="N65" s="2" t="s">
        <v>155</v>
      </c>
      <c r="O65" s="2"/>
      <c r="P65" s="2"/>
      <c r="Q65" s="2"/>
      <c r="S65" t="s">
        <v>112</v>
      </c>
      <c r="T65">
        <v>92721.17</v>
      </c>
    </row>
    <row r="66" spans="13:20" x14ac:dyDescent="0.2">
      <c r="M66" s="2">
        <v>65</v>
      </c>
      <c r="N66" s="2" t="s">
        <v>160</v>
      </c>
      <c r="O66" s="2"/>
      <c r="P66" s="2"/>
      <c r="Q66" s="2"/>
      <c r="S66" t="s">
        <v>113</v>
      </c>
      <c r="T66">
        <v>-1010279.47</v>
      </c>
    </row>
    <row r="67" spans="13:20" x14ac:dyDescent="0.2">
      <c r="M67" s="2">
        <v>66</v>
      </c>
      <c r="N67" s="2" t="s">
        <v>161</v>
      </c>
      <c r="O67" s="2"/>
      <c r="P67" s="2"/>
      <c r="Q67" s="2"/>
      <c r="S67" t="s">
        <v>114</v>
      </c>
      <c r="T67">
        <v>-1045811.29</v>
      </c>
    </row>
    <row r="68" spans="13:20" x14ac:dyDescent="0.2">
      <c r="M68" s="2">
        <v>67</v>
      </c>
      <c r="N68" s="2" t="s">
        <v>163</v>
      </c>
      <c r="O68" s="2"/>
      <c r="P68" s="2"/>
      <c r="Q68" s="2"/>
      <c r="S68" t="s">
        <v>115</v>
      </c>
      <c r="T68">
        <v>185823.47</v>
      </c>
    </row>
    <row r="69" spans="13:20" x14ac:dyDescent="0.2">
      <c r="M69" s="2">
        <v>68</v>
      </c>
      <c r="N69" s="2" t="s">
        <v>164</v>
      </c>
      <c r="O69" s="2"/>
      <c r="P69" s="2"/>
      <c r="Q69" s="2"/>
      <c r="S69" t="s">
        <v>116</v>
      </c>
      <c r="T69">
        <v>-241404.4199821974</v>
      </c>
    </row>
    <row r="70" spans="13:20" x14ac:dyDescent="0.2">
      <c r="M70" s="2">
        <v>69</v>
      </c>
      <c r="N70" s="2" t="s">
        <v>165</v>
      </c>
      <c r="O70" s="2"/>
      <c r="P70" s="2"/>
      <c r="Q70" s="2"/>
      <c r="S70" t="s">
        <v>117</v>
      </c>
      <c r="T70">
        <v>-139310.31</v>
      </c>
    </row>
    <row r="71" spans="13:20" x14ac:dyDescent="0.2">
      <c r="M71" s="2">
        <v>70</v>
      </c>
      <c r="N71" s="2" t="s">
        <v>167</v>
      </c>
      <c r="O71" s="2"/>
      <c r="P71" s="2"/>
      <c r="Q71" s="2"/>
      <c r="S71" t="s">
        <v>118</v>
      </c>
      <c r="T71">
        <v>442995.16</v>
      </c>
    </row>
    <row r="72" spans="13:20" x14ac:dyDescent="0.2">
      <c r="M72" s="2">
        <v>71</v>
      </c>
      <c r="N72" s="2" t="s">
        <v>169</v>
      </c>
      <c r="O72" s="2"/>
      <c r="P72" s="2"/>
      <c r="Q72" s="2"/>
      <c r="S72" t="s">
        <v>119</v>
      </c>
      <c r="T72">
        <v>-657957.75156197976</v>
      </c>
    </row>
    <row r="73" spans="13:20" x14ac:dyDescent="0.2">
      <c r="M73" s="2">
        <v>72</v>
      </c>
      <c r="N73" s="2" t="s">
        <v>171</v>
      </c>
      <c r="O73" s="2"/>
      <c r="P73" s="2"/>
      <c r="Q73" s="2"/>
      <c r="S73" t="s">
        <v>120</v>
      </c>
      <c r="T73">
        <v>-341538.87</v>
      </c>
    </row>
    <row r="74" spans="13:20" x14ac:dyDescent="0.2">
      <c r="M74" s="2">
        <v>73</v>
      </c>
      <c r="N74" s="2" t="s">
        <v>175</v>
      </c>
      <c r="O74" s="2"/>
      <c r="P74" s="2"/>
      <c r="Q74" s="2"/>
      <c r="S74" t="s">
        <v>121</v>
      </c>
      <c r="T74">
        <v>-1163120.71</v>
      </c>
    </row>
    <row r="75" spans="13:20" x14ac:dyDescent="0.2">
      <c r="M75" s="2">
        <v>74</v>
      </c>
      <c r="N75" s="2" t="s">
        <v>176</v>
      </c>
      <c r="O75" s="2"/>
      <c r="P75" s="2"/>
      <c r="Q75" s="2"/>
      <c r="S75" t="s">
        <v>122</v>
      </c>
      <c r="T75">
        <v>-776965.61</v>
      </c>
    </row>
    <row r="76" spans="13:20" x14ac:dyDescent="0.2">
      <c r="M76" s="2">
        <v>75</v>
      </c>
      <c r="N76" s="2" t="s">
        <v>177</v>
      </c>
      <c r="O76" s="2"/>
      <c r="P76" s="2"/>
      <c r="Q76" s="2"/>
      <c r="S76" t="s">
        <v>123</v>
      </c>
      <c r="T76">
        <v>-965752.72</v>
      </c>
    </row>
    <row r="77" spans="13:20" x14ac:dyDescent="0.2">
      <c r="M77" s="2">
        <v>76</v>
      </c>
      <c r="N77" s="2" t="s">
        <v>187</v>
      </c>
      <c r="O77" s="2"/>
      <c r="P77" s="2"/>
      <c r="Q77" s="2"/>
      <c r="S77" t="s">
        <v>124</v>
      </c>
      <c r="T77">
        <v>-544290.42000000004</v>
      </c>
    </row>
    <row r="78" spans="13:20" x14ac:dyDescent="0.2">
      <c r="M78" s="2">
        <v>77</v>
      </c>
      <c r="N78" s="2" t="s">
        <v>194</v>
      </c>
      <c r="O78" s="2"/>
      <c r="P78" s="2"/>
      <c r="Q78" s="2"/>
      <c r="S78" t="s">
        <v>125</v>
      </c>
      <c r="T78">
        <v>-877867.33</v>
      </c>
    </row>
    <row r="79" spans="13:20" x14ac:dyDescent="0.2">
      <c r="M79" s="2">
        <v>78</v>
      </c>
      <c r="N79" s="2" t="s">
        <v>201</v>
      </c>
      <c r="O79" s="2"/>
      <c r="P79" s="2"/>
      <c r="Q79" s="2"/>
      <c r="S79" t="s">
        <v>126</v>
      </c>
      <c r="T79">
        <v>-556235.43999999994</v>
      </c>
    </row>
    <row r="80" spans="13:20" x14ac:dyDescent="0.2">
      <c r="M80" s="2">
        <v>79</v>
      </c>
      <c r="N80" s="2" t="s">
        <v>218</v>
      </c>
      <c r="O80" s="2"/>
      <c r="P80" s="2"/>
      <c r="Q80" s="2"/>
      <c r="S80" t="s">
        <v>129</v>
      </c>
      <c r="T80">
        <v>4165670.31</v>
      </c>
    </row>
    <row r="81" spans="19:20" x14ac:dyDescent="0.2">
      <c r="S81" t="s">
        <v>130</v>
      </c>
      <c r="T81">
        <v>163628.01</v>
      </c>
    </row>
    <row r="82" spans="19:20" x14ac:dyDescent="0.2">
      <c r="S82" t="s">
        <v>131</v>
      </c>
      <c r="T82">
        <v>299140.09999999998</v>
      </c>
    </row>
    <row r="83" spans="19:20" x14ac:dyDescent="0.2">
      <c r="S83" t="s">
        <v>132</v>
      </c>
      <c r="T83">
        <v>-889764.02</v>
      </c>
    </row>
    <row r="84" spans="19:20" x14ac:dyDescent="0.2">
      <c r="S84" t="s">
        <v>133</v>
      </c>
      <c r="T84">
        <v>-1392017.83</v>
      </c>
    </row>
    <row r="85" spans="19:20" x14ac:dyDescent="0.2">
      <c r="S85" t="s">
        <v>135</v>
      </c>
      <c r="T85">
        <v>-439006.6</v>
      </c>
    </row>
    <row r="86" spans="19:20" x14ac:dyDescent="0.2">
      <c r="S86" t="s">
        <v>136</v>
      </c>
      <c r="T86">
        <v>92684.89</v>
      </c>
    </row>
    <row r="87" spans="19:20" x14ac:dyDescent="0.2">
      <c r="S87" t="s">
        <v>137</v>
      </c>
      <c r="T87">
        <v>-1393112.62</v>
      </c>
    </row>
    <row r="88" spans="19:20" x14ac:dyDescent="0.2">
      <c r="S88" t="s">
        <v>138</v>
      </c>
      <c r="T88">
        <v>-741564.71</v>
      </c>
    </row>
    <row r="89" spans="19:20" x14ac:dyDescent="0.2">
      <c r="S89" t="s">
        <v>139</v>
      </c>
      <c r="T89">
        <v>-287082.36</v>
      </c>
    </row>
    <row r="90" spans="19:20" x14ac:dyDescent="0.2">
      <c r="S90" t="s">
        <v>140</v>
      </c>
      <c r="T90">
        <v>-156451.1</v>
      </c>
    </row>
    <row r="91" spans="19:20" x14ac:dyDescent="0.2">
      <c r="S91" t="s">
        <v>141</v>
      </c>
      <c r="T91">
        <v>-249006.07999999999</v>
      </c>
    </row>
    <row r="92" spans="19:20" x14ac:dyDescent="0.2">
      <c r="S92" t="s">
        <v>143</v>
      </c>
      <c r="T92">
        <v>-365270.57928696909</v>
      </c>
    </row>
    <row r="93" spans="19:20" x14ac:dyDescent="0.2">
      <c r="S93" t="s">
        <v>147</v>
      </c>
      <c r="T93">
        <v>-1073384.4493611122</v>
      </c>
    </row>
    <row r="94" spans="19:20" x14ac:dyDescent="0.2">
      <c r="S94" t="s">
        <v>149</v>
      </c>
      <c r="T94">
        <v>-35405.910516163451</v>
      </c>
    </row>
    <row r="95" spans="19:20" x14ac:dyDescent="0.2">
      <c r="S95" t="s">
        <v>150</v>
      </c>
      <c r="T95">
        <v>-118106.63857841918</v>
      </c>
    </row>
    <row r="96" spans="19:20" x14ac:dyDescent="0.2">
      <c r="S96" t="s">
        <v>151</v>
      </c>
      <c r="T96">
        <v>-172559.02621595084</v>
      </c>
    </row>
    <row r="97" spans="19:20" x14ac:dyDescent="0.2">
      <c r="S97" t="s">
        <v>152</v>
      </c>
      <c r="T97">
        <v>68202.809578636414</v>
      </c>
    </row>
    <row r="98" spans="19:20" x14ac:dyDescent="0.2">
      <c r="S98" t="s">
        <v>153</v>
      </c>
      <c r="T98">
        <v>-257210.29893115888</v>
      </c>
    </row>
    <row r="99" spans="19:20" x14ac:dyDescent="0.2">
      <c r="S99" t="s">
        <v>155</v>
      </c>
      <c r="T99">
        <v>-785135.61</v>
      </c>
    </row>
    <row r="100" spans="19:20" x14ac:dyDescent="0.2">
      <c r="S100" t="s">
        <v>157</v>
      </c>
      <c r="T100">
        <v>-334876.19985281635</v>
      </c>
    </row>
    <row r="101" spans="19:20" x14ac:dyDescent="0.2">
      <c r="S101" t="s">
        <v>158</v>
      </c>
      <c r="T101">
        <v>131430.15796542508</v>
      </c>
    </row>
    <row r="102" spans="19:20" x14ac:dyDescent="0.2">
      <c r="S102" t="s">
        <v>159</v>
      </c>
      <c r="T102">
        <v>-192158.7794273005</v>
      </c>
    </row>
    <row r="103" spans="19:20" x14ac:dyDescent="0.2">
      <c r="S103" t="s">
        <v>160</v>
      </c>
      <c r="T103">
        <v>-556511.71</v>
      </c>
    </row>
    <row r="104" spans="19:20" x14ac:dyDescent="0.2">
      <c r="S104" t="s">
        <v>161</v>
      </c>
      <c r="T104">
        <v>-636429.01</v>
      </c>
    </row>
    <row r="105" spans="19:20" x14ac:dyDescent="0.2">
      <c r="S105" t="s">
        <v>162</v>
      </c>
      <c r="T105">
        <v>-803353.61049425101</v>
      </c>
    </row>
    <row r="106" spans="19:20" x14ac:dyDescent="0.2">
      <c r="S106" t="s">
        <v>163</v>
      </c>
      <c r="T106">
        <v>-357083.18107639678</v>
      </c>
    </row>
    <row r="107" spans="19:20" x14ac:dyDescent="0.2">
      <c r="S107" t="s">
        <v>164</v>
      </c>
      <c r="T107">
        <v>-1227713.31</v>
      </c>
    </row>
    <row r="108" spans="19:20" x14ac:dyDescent="0.2">
      <c r="S108" t="s">
        <v>165</v>
      </c>
      <c r="T108">
        <v>-1606073.74</v>
      </c>
    </row>
    <row r="109" spans="19:20" x14ac:dyDescent="0.2">
      <c r="S109" t="s">
        <v>166</v>
      </c>
      <c r="T109">
        <v>-119905.0970409119</v>
      </c>
    </row>
    <row r="110" spans="19:20" x14ac:dyDescent="0.2">
      <c r="S110" t="s">
        <v>167</v>
      </c>
      <c r="T110">
        <v>386674</v>
      </c>
    </row>
    <row r="111" spans="19:20" x14ac:dyDescent="0.2">
      <c r="S111" t="s">
        <v>168</v>
      </c>
      <c r="T111">
        <v>-251600.73724544753</v>
      </c>
    </row>
    <row r="112" spans="19:20" x14ac:dyDescent="0.2">
      <c r="S112" t="s">
        <v>169</v>
      </c>
      <c r="T112">
        <v>339679.45</v>
      </c>
    </row>
    <row r="113" spans="19:20" x14ac:dyDescent="0.2">
      <c r="S113" t="s">
        <v>170</v>
      </c>
      <c r="T113">
        <v>-361303.19572368654</v>
      </c>
    </row>
    <row r="114" spans="19:20" x14ac:dyDescent="0.2">
      <c r="S114" t="s">
        <v>171</v>
      </c>
      <c r="T114">
        <v>58945.919999999998</v>
      </c>
    </row>
    <row r="115" spans="19:20" x14ac:dyDescent="0.2">
      <c r="S115" t="s">
        <v>172</v>
      </c>
      <c r="T115">
        <v>-76436.163903904875</v>
      </c>
    </row>
    <row r="116" spans="19:20" x14ac:dyDescent="0.2">
      <c r="S116" t="s">
        <v>173</v>
      </c>
      <c r="T116">
        <v>-371439.80430284579</v>
      </c>
    </row>
    <row r="117" spans="19:20" x14ac:dyDescent="0.2">
      <c r="S117" t="s">
        <v>175</v>
      </c>
      <c r="T117">
        <v>-114072.29</v>
      </c>
    </row>
    <row r="118" spans="19:20" x14ac:dyDescent="0.2">
      <c r="S118" t="s">
        <v>176</v>
      </c>
      <c r="T118">
        <v>-154471.32999999999</v>
      </c>
    </row>
    <row r="119" spans="19:20" x14ac:dyDescent="0.2">
      <c r="S119" t="s">
        <v>177</v>
      </c>
      <c r="T119">
        <v>-694712.02</v>
      </c>
    </row>
    <row r="120" spans="19:20" x14ac:dyDescent="0.2">
      <c r="S120" t="s">
        <v>187</v>
      </c>
      <c r="T120">
        <v>1299337.73</v>
      </c>
    </row>
    <row r="121" spans="19:20" x14ac:dyDescent="0.2">
      <c r="S121" t="s">
        <v>192</v>
      </c>
      <c r="T121">
        <v>-909108.84959764499</v>
      </c>
    </row>
    <row r="122" spans="19:20" x14ac:dyDescent="0.2">
      <c r="S122" t="s">
        <v>193</v>
      </c>
      <c r="T122">
        <v>-7313.0800000000017</v>
      </c>
    </row>
    <row r="123" spans="19:20" x14ac:dyDescent="0.2">
      <c r="S123" t="s">
        <v>194</v>
      </c>
      <c r="T123">
        <v>-3800226.53</v>
      </c>
    </row>
    <row r="124" spans="19:20" x14ac:dyDescent="0.2">
      <c r="S124" t="s">
        <v>195</v>
      </c>
      <c r="T124">
        <v>-257388.76085581878</v>
      </c>
    </row>
    <row r="125" spans="19:20" x14ac:dyDescent="0.2">
      <c r="S125" t="s">
        <v>196</v>
      </c>
      <c r="T125">
        <v>-463136.7476126749</v>
      </c>
    </row>
    <row r="126" spans="19:20" x14ac:dyDescent="0.2">
      <c r="S126" t="s">
        <v>197</v>
      </c>
      <c r="T126">
        <v>-134915.82736448146</v>
      </c>
    </row>
    <row r="127" spans="19:20" x14ac:dyDescent="0.2">
      <c r="S127" t="s">
        <v>198</v>
      </c>
      <c r="T127">
        <v>83329.346663690929</v>
      </c>
    </row>
    <row r="128" spans="19:20" x14ac:dyDescent="0.2">
      <c r="S128" t="s">
        <v>517</v>
      </c>
      <c r="T128">
        <v>-134261.76655380512</v>
      </c>
    </row>
    <row r="129" spans="19:20" x14ac:dyDescent="0.2">
      <c r="S129" t="s">
        <v>518</v>
      </c>
      <c r="T129">
        <v>-506375.90301762812</v>
      </c>
    </row>
    <row r="130" spans="19:20" x14ac:dyDescent="0.2">
      <c r="S130" t="s">
        <v>519</v>
      </c>
      <c r="T130">
        <v>-838563.91108098475</v>
      </c>
    </row>
    <row r="131" spans="19:20" x14ac:dyDescent="0.2">
      <c r="S131" t="s">
        <v>520</v>
      </c>
      <c r="T131">
        <v>-1002472.8093606732</v>
      </c>
    </row>
    <row r="132" spans="19:20" x14ac:dyDescent="0.2">
      <c r="S132" t="s">
        <v>521</v>
      </c>
      <c r="T132">
        <v>-579762.38548584329</v>
      </c>
    </row>
    <row r="133" spans="19:20" x14ac:dyDescent="0.2">
      <c r="S133" t="s">
        <v>522</v>
      </c>
      <c r="T133">
        <v>-302405.68355533684</v>
      </c>
    </row>
    <row r="134" spans="19:20" x14ac:dyDescent="0.2">
      <c r="S134" t="s">
        <v>523</v>
      </c>
      <c r="T134">
        <v>27587.826927885893</v>
      </c>
    </row>
    <row r="135" spans="19:20" x14ac:dyDescent="0.2">
      <c r="S135" t="s">
        <v>524</v>
      </c>
      <c r="T135">
        <v>-208874.83851326132</v>
      </c>
    </row>
    <row r="136" spans="19:20" x14ac:dyDescent="0.2">
      <c r="S136" t="s">
        <v>525</v>
      </c>
      <c r="T136">
        <v>-161122.88617580972</v>
      </c>
    </row>
    <row r="137" spans="19:20" x14ac:dyDescent="0.2">
      <c r="S137" t="s">
        <v>526</v>
      </c>
      <c r="T137">
        <v>-648885.46370026446</v>
      </c>
    </row>
    <row r="138" spans="19:20" x14ac:dyDescent="0.2">
      <c r="S138" t="s">
        <v>527</v>
      </c>
      <c r="T138">
        <v>-442515.87945588608</v>
      </c>
    </row>
    <row r="139" spans="19:20" x14ac:dyDescent="0.2">
      <c r="S139" t="s">
        <v>528</v>
      </c>
      <c r="T139">
        <v>-789245.40782514005</v>
      </c>
    </row>
    <row r="140" spans="19:20" x14ac:dyDescent="0.2">
      <c r="S140" t="s">
        <v>529</v>
      </c>
      <c r="T140">
        <v>-454862.07747492258</v>
      </c>
    </row>
    <row r="141" spans="19:20" x14ac:dyDescent="0.2">
      <c r="S141" t="s">
        <v>530</v>
      </c>
      <c r="T141">
        <v>-162316.11037914807</v>
      </c>
    </row>
    <row r="142" spans="19:20" x14ac:dyDescent="0.2">
      <c r="S142" t="s">
        <v>531</v>
      </c>
      <c r="T142">
        <v>-319673.02362593467</v>
      </c>
    </row>
    <row r="143" spans="19:20" x14ac:dyDescent="0.2">
      <c r="S143" t="s">
        <v>532</v>
      </c>
      <c r="T143">
        <v>-263072.26053006935</v>
      </c>
    </row>
    <row r="144" spans="19:20" x14ac:dyDescent="0.2">
      <c r="S144" t="s">
        <v>533</v>
      </c>
      <c r="T144">
        <v>-589275.05521445803</v>
      </c>
    </row>
    <row r="145" spans="19:20" x14ac:dyDescent="0.2">
      <c r="S145" t="s">
        <v>534</v>
      </c>
      <c r="T145">
        <v>-446175.71315583435</v>
      </c>
    </row>
    <row r="146" spans="19:20" x14ac:dyDescent="0.2">
      <c r="S146" t="s">
        <v>535</v>
      </c>
      <c r="T146">
        <v>-242326.63469679916</v>
      </c>
    </row>
    <row r="147" spans="19:20" x14ac:dyDescent="0.2">
      <c r="S147" t="s">
        <v>536</v>
      </c>
      <c r="T147">
        <v>64147.300336191605</v>
      </c>
    </row>
    <row r="148" spans="19:20" x14ac:dyDescent="0.2">
      <c r="S148" t="s">
        <v>537</v>
      </c>
      <c r="T148">
        <v>-31758.271135186616</v>
      </c>
    </row>
    <row r="149" spans="19:20" x14ac:dyDescent="0.2">
      <c r="S149" t="s">
        <v>538</v>
      </c>
      <c r="T149">
        <v>-799394.36250117794</v>
      </c>
    </row>
    <row r="150" spans="19:20" x14ac:dyDescent="0.2">
      <c r="S150" t="s">
        <v>200</v>
      </c>
      <c r="T150">
        <v>-343062.53636649478</v>
      </c>
    </row>
    <row r="151" spans="19:20" x14ac:dyDescent="0.2">
      <c r="S151" t="s">
        <v>201</v>
      </c>
      <c r="T151">
        <v>-1679620.13</v>
      </c>
    </row>
    <row r="152" spans="19:20" x14ac:dyDescent="0.2">
      <c r="S152" t="s">
        <v>202</v>
      </c>
      <c r="T152">
        <v>-557693.25648093817</v>
      </c>
    </row>
    <row r="153" spans="19:20" x14ac:dyDescent="0.2">
      <c r="S153" t="s">
        <v>203</v>
      </c>
      <c r="T153">
        <v>-752747.11886823399</v>
      </c>
    </row>
    <row r="154" spans="19:20" x14ac:dyDescent="0.2">
      <c r="S154" t="s">
        <v>205</v>
      </c>
      <c r="T154">
        <v>-436954.45643382071</v>
      </c>
    </row>
    <row r="155" spans="19:20" x14ac:dyDescent="0.2">
      <c r="S155" t="s">
        <v>206</v>
      </c>
      <c r="T155">
        <v>-8325.5499999999993</v>
      </c>
    </row>
    <row r="156" spans="19:20" x14ac:dyDescent="0.2">
      <c r="S156" t="s">
        <v>207</v>
      </c>
      <c r="T156">
        <v>84836.671209180378</v>
      </c>
    </row>
    <row r="157" spans="19:20" x14ac:dyDescent="0.2">
      <c r="S157" t="s">
        <v>208</v>
      </c>
      <c r="T157">
        <v>-191429.71928227515</v>
      </c>
    </row>
    <row r="158" spans="19:20" x14ac:dyDescent="0.2">
      <c r="S158" t="s">
        <v>209</v>
      </c>
      <c r="T158">
        <v>-345137.32193576859</v>
      </c>
    </row>
    <row r="159" spans="19:20" x14ac:dyDescent="0.2">
      <c r="S159" t="s">
        <v>210</v>
      </c>
      <c r="T159">
        <v>-688550.28241506137</v>
      </c>
    </row>
    <row r="160" spans="19:20" x14ac:dyDescent="0.2">
      <c r="S160" t="s">
        <v>211</v>
      </c>
      <c r="T160">
        <v>-421850.01847957901</v>
      </c>
    </row>
    <row r="161" spans="19:20" x14ac:dyDescent="0.2">
      <c r="S161" t="s">
        <v>212</v>
      </c>
      <c r="T161">
        <v>-145431.09070662782</v>
      </c>
    </row>
    <row r="162" spans="19:20" x14ac:dyDescent="0.2">
      <c r="S162" t="s">
        <v>214</v>
      </c>
      <c r="T162">
        <v>-972117.02892345667</v>
      </c>
    </row>
    <row r="163" spans="19:20" x14ac:dyDescent="0.2">
      <c r="S163" t="s">
        <v>215</v>
      </c>
      <c r="T163">
        <v>-710300.99866693304</v>
      </c>
    </row>
    <row r="164" spans="19:20" x14ac:dyDescent="0.2">
      <c r="S164" t="s">
        <v>216</v>
      </c>
      <c r="T164">
        <v>-1880384.3316889196</v>
      </c>
    </row>
    <row r="165" spans="19:20" x14ac:dyDescent="0.2">
      <c r="S165" t="s">
        <v>217</v>
      </c>
      <c r="T165">
        <v>-194391.48615381078</v>
      </c>
    </row>
    <row r="166" spans="19:20" x14ac:dyDescent="0.2">
      <c r="S166" t="s">
        <v>218</v>
      </c>
      <c r="T166">
        <v>-1102370.8500000001</v>
      </c>
    </row>
    <row r="167" spans="19:20" x14ac:dyDescent="0.2">
      <c r="S167" t="s">
        <v>219</v>
      </c>
      <c r="T167">
        <v>-723134.53854045738</v>
      </c>
    </row>
    <row r="168" spans="19:20" x14ac:dyDescent="0.2">
      <c r="S168">
        <v>166</v>
      </c>
    </row>
  </sheetData>
  <phoneticPr fontId="43" type="noConversion"/>
  <pageMargins left="0.70866141732283472" right="0.70866141732283472" top="0.15748031496062992" bottom="0.15748031496062992" header="0.31496062992125984" footer="0.31496062992125984"/>
  <pageSetup paperSize="9" scale="83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filterMode="1">
    <pageSetUpPr fitToPage="1"/>
  </sheetPr>
  <dimension ref="A1:G93"/>
  <sheetViews>
    <sheetView view="pageBreakPreview" topLeftCell="A36" zoomScale="80" zoomScaleNormal="100" zoomScaleSheetLayoutView="80" workbookViewId="0">
      <selection activeCell="B79" sqref="B79"/>
    </sheetView>
  </sheetViews>
  <sheetFormatPr defaultRowHeight="15.75" x14ac:dyDescent="0.25"/>
  <cols>
    <col min="1" max="1" width="91.5703125" style="3" customWidth="1"/>
    <col min="2" max="2" width="15" style="70" customWidth="1"/>
    <col min="3" max="4" width="13.85546875" style="3" customWidth="1"/>
    <col min="5" max="5" width="14.140625" style="3" customWidth="1"/>
    <col min="6" max="6" width="11.140625" style="3" customWidth="1"/>
    <col min="7" max="7" width="12.42578125" style="3" bestFit="1" customWidth="1"/>
    <col min="8" max="16384" width="9.140625" style="3"/>
  </cols>
  <sheetData>
    <row r="1" spans="1:4" ht="16.5" customHeight="1" x14ac:dyDescent="0.25">
      <c r="A1" s="313" t="s">
        <v>224</v>
      </c>
      <c r="B1" s="314"/>
    </row>
    <row r="2" spans="1:4" ht="16.5" x14ac:dyDescent="0.25">
      <c r="A2" s="315" t="s">
        <v>225</v>
      </c>
      <c r="B2" s="316"/>
    </row>
    <row r="3" spans="1:4" ht="16.5" x14ac:dyDescent="0.25">
      <c r="A3" s="315" t="s">
        <v>226</v>
      </c>
      <c r="B3" s="316"/>
    </row>
    <row r="4" spans="1:4" x14ac:dyDescent="0.25">
      <c r="A4" s="4" t="s">
        <v>516</v>
      </c>
      <c r="B4" s="5"/>
    </row>
    <row r="5" spans="1:4" x14ac:dyDescent="0.25">
      <c r="A5" s="4" t="s">
        <v>36</v>
      </c>
      <c r="B5" s="6"/>
    </row>
    <row r="6" spans="1:4" ht="5.25" customHeight="1" x14ac:dyDescent="0.25">
      <c r="A6" s="4"/>
      <c r="B6" s="7"/>
      <c r="C6" s="8"/>
    </row>
    <row r="7" spans="1:4" ht="16.5" thickBot="1" x14ac:dyDescent="0.3">
      <c r="A7" s="9"/>
      <c r="B7" s="7"/>
      <c r="C7" s="8"/>
    </row>
    <row r="8" spans="1:4" ht="15.75" customHeight="1" x14ac:dyDescent="0.25">
      <c r="A8" s="317" t="s">
        <v>227</v>
      </c>
      <c r="B8" s="319" t="s">
        <v>228</v>
      </c>
      <c r="C8" s="307" t="s">
        <v>229</v>
      </c>
      <c r="D8" s="307" t="s">
        <v>230</v>
      </c>
    </row>
    <row r="9" spans="1:4" ht="28.5" customHeight="1" thickBot="1" x14ac:dyDescent="0.3">
      <c r="A9" s="318"/>
      <c r="B9" s="320"/>
      <c r="C9" s="308"/>
      <c r="D9" s="308"/>
    </row>
    <row r="10" spans="1:4" ht="16.5" thickBot="1" x14ac:dyDescent="0.3">
      <c r="A10" s="179" t="s">
        <v>231</v>
      </c>
      <c r="B10" s="301">
        <f>VLOOKUP(A5,мкд!S:T,2,FALSE)</f>
        <v>-1135029.23</v>
      </c>
      <c r="C10" s="12"/>
      <c r="D10" s="12"/>
    </row>
    <row r="11" spans="1:4" ht="16.5" hidden="1" thickBot="1" x14ac:dyDescent="0.3">
      <c r="A11" s="180" t="s">
        <v>232</v>
      </c>
      <c r="B11" s="11"/>
      <c r="C11" s="14"/>
      <c r="D11" s="14"/>
    </row>
    <row r="12" spans="1:4" x14ac:dyDescent="0.25">
      <c r="A12" s="181" t="s">
        <v>233</v>
      </c>
      <c r="B12" s="16"/>
      <c r="C12" s="17" t="s">
        <v>234</v>
      </c>
      <c r="D12" s="18" t="s">
        <v>234</v>
      </c>
    </row>
    <row r="13" spans="1:4" hidden="1" x14ac:dyDescent="0.25">
      <c r="A13" s="182" t="s">
        <v>235</v>
      </c>
      <c r="B13" s="20">
        <v>3347</v>
      </c>
      <c r="C13" s="21" t="s">
        <v>234</v>
      </c>
      <c r="D13" s="22" t="s">
        <v>234</v>
      </c>
    </row>
    <row r="14" spans="1:4" hidden="1" x14ac:dyDescent="0.25">
      <c r="A14" s="182" t="s">
        <v>236</v>
      </c>
      <c r="B14" s="20">
        <v>0</v>
      </c>
      <c r="C14" s="21"/>
      <c r="D14" s="22"/>
    </row>
    <row r="15" spans="1:4" x14ac:dyDescent="0.25">
      <c r="A15" s="182" t="s">
        <v>237</v>
      </c>
      <c r="B15" s="20">
        <f>B13+B14</f>
        <v>3347</v>
      </c>
      <c r="C15" s="21"/>
      <c r="D15" s="22"/>
    </row>
    <row r="16" spans="1:4" x14ac:dyDescent="0.25">
      <c r="A16" s="182" t="s">
        <v>238</v>
      </c>
      <c r="B16" s="20">
        <f>1651.68+1641.3/3</f>
        <v>2198.7800000000002</v>
      </c>
      <c r="C16" s="21" t="s">
        <v>234</v>
      </c>
      <c r="D16" s="22" t="s">
        <v>234</v>
      </c>
    </row>
    <row r="17" spans="1:7" hidden="1" x14ac:dyDescent="0.25">
      <c r="A17" s="182" t="s">
        <v>239</v>
      </c>
      <c r="B17" s="20">
        <v>0</v>
      </c>
      <c r="C17" s="21" t="s">
        <v>234</v>
      </c>
      <c r="D17" s="22" t="s">
        <v>234</v>
      </c>
    </row>
    <row r="18" spans="1:7" hidden="1" x14ac:dyDescent="0.25">
      <c r="A18" s="182" t="s">
        <v>240</v>
      </c>
      <c r="B18" s="20">
        <v>924</v>
      </c>
      <c r="C18" s="21" t="s">
        <v>234</v>
      </c>
      <c r="D18" s="22" t="s">
        <v>234</v>
      </c>
    </row>
    <row r="19" spans="1:7" hidden="1" x14ac:dyDescent="0.25">
      <c r="A19" s="182" t="s">
        <v>241</v>
      </c>
      <c r="B19" s="20">
        <v>0</v>
      </c>
      <c r="C19" s="21" t="s">
        <v>234</v>
      </c>
      <c r="D19" s="22" t="s">
        <v>234</v>
      </c>
    </row>
    <row r="20" spans="1:7" hidden="1" x14ac:dyDescent="0.25">
      <c r="A20" s="182" t="s">
        <v>242</v>
      </c>
      <c r="B20" s="20">
        <v>1201</v>
      </c>
      <c r="C20" s="21"/>
      <c r="D20" s="22"/>
    </row>
    <row r="21" spans="1:7" hidden="1" x14ac:dyDescent="0.25">
      <c r="A21" s="182" t="s">
        <v>243</v>
      </c>
      <c r="B21" s="20">
        <v>0</v>
      </c>
      <c r="C21" s="21" t="s">
        <v>234</v>
      </c>
      <c r="D21" s="22" t="s">
        <v>234</v>
      </c>
    </row>
    <row r="22" spans="1:7" hidden="1" x14ac:dyDescent="0.25">
      <c r="A22" s="182" t="s">
        <v>244</v>
      </c>
      <c r="B22" s="20">
        <v>182</v>
      </c>
      <c r="C22" s="21"/>
      <c r="D22" s="22"/>
    </row>
    <row r="23" spans="1:7" x14ac:dyDescent="0.25">
      <c r="A23" s="182"/>
      <c r="B23" s="20"/>
      <c r="C23" s="21"/>
      <c r="D23" s="22"/>
      <c r="E23" s="3">
        <v>10</v>
      </c>
      <c r="F23" s="3">
        <v>2</v>
      </c>
    </row>
    <row r="24" spans="1:7" x14ac:dyDescent="0.25">
      <c r="A24" s="183" t="s">
        <v>245</v>
      </c>
      <c r="B24" s="25">
        <f>VLOOKUP(A5,[1]Лист1!M$1:N$65536,2,FALSE)</f>
        <v>567147.4</v>
      </c>
      <c r="C24" s="21"/>
      <c r="D24" s="22"/>
      <c r="E24" s="26">
        <v>13.850000000000001</v>
      </c>
      <c r="F24" s="27">
        <v>15.503690000000001</v>
      </c>
    </row>
    <row r="25" spans="1:7" x14ac:dyDescent="0.25">
      <c r="A25" s="183" t="s">
        <v>246</v>
      </c>
      <c r="B25" s="25">
        <f>VLOOKUP(A5,[1]Лист1!M$1:O$65536,3,FALSE)</f>
        <v>544809.67000000004</v>
      </c>
      <c r="C25" s="21"/>
      <c r="D25" s="22"/>
    </row>
    <row r="26" spans="1:7" hidden="1" x14ac:dyDescent="0.25">
      <c r="A26" s="183" t="s">
        <v>247</v>
      </c>
      <c r="B26" s="25"/>
      <c r="C26" s="21"/>
      <c r="D26" s="22"/>
    </row>
    <row r="27" spans="1:7" hidden="1" x14ac:dyDescent="0.25">
      <c r="A27" s="183" t="s">
        <v>248</v>
      </c>
      <c r="B27" s="25">
        <f>B26</f>
        <v>0</v>
      </c>
      <c r="C27" s="21"/>
      <c r="D27" s="22"/>
    </row>
    <row r="28" spans="1:7" hidden="1" x14ac:dyDescent="0.25">
      <c r="A28" s="183" t="s">
        <v>249</v>
      </c>
      <c r="B28" s="25"/>
      <c r="C28" s="21"/>
      <c r="D28" s="22"/>
    </row>
    <row r="29" spans="1:7" hidden="1" x14ac:dyDescent="0.25">
      <c r="A29" s="183" t="s">
        <v>250</v>
      </c>
      <c r="B29" s="20"/>
      <c r="C29" s="21"/>
      <c r="D29" s="22"/>
    </row>
    <row r="30" spans="1:7" x14ac:dyDescent="0.25">
      <c r="A30" s="184"/>
      <c r="B30" s="20"/>
      <c r="C30" s="21"/>
      <c r="D30" s="22"/>
    </row>
    <row r="31" spans="1:7" x14ac:dyDescent="0.25">
      <c r="A31" s="185" t="s">
        <v>251</v>
      </c>
      <c r="B31" s="20"/>
      <c r="C31" s="21"/>
      <c r="D31" s="22"/>
    </row>
    <row r="32" spans="1:7" s="34" customFormat="1" ht="31.5" x14ac:dyDescent="0.25">
      <c r="A32" s="186" t="s">
        <v>252</v>
      </c>
      <c r="B32" s="32">
        <f>SUM(B33:B41)</f>
        <v>95237.919999999984</v>
      </c>
      <c r="C32" s="21"/>
      <c r="D32" s="22"/>
      <c r="E32" s="33">
        <f>(B24-B84)/1.2/1.03</f>
        <v>-186936.91905889969</v>
      </c>
      <c r="F32" s="33" t="e">
        <f>(#REF!-#REF!)/1.2/1.03</f>
        <v>#REF!</v>
      </c>
      <c r="G32" s="33" t="e">
        <f>(#REF!-#REF!)/1.2/1.03</f>
        <v>#REF!</v>
      </c>
    </row>
    <row r="33" spans="1:7" x14ac:dyDescent="0.25">
      <c r="A33" s="187" t="s">
        <v>253</v>
      </c>
      <c r="B33" s="20">
        <f>32000*1.12</f>
        <v>35840</v>
      </c>
      <c r="C33" s="21"/>
      <c r="D33" s="22">
        <v>32718.04</v>
      </c>
    </row>
    <row r="34" spans="1:7" hidden="1" x14ac:dyDescent="0.25">
      <c r="A34" s="35" t="s">
        <v>364</v>
      </c>
      <c r="B34" s="23">
        <v>0</v>
      </c>
      <c r="C34" s="21"/>
      <c r="D34" s="22">
        <v>0</v>
      </c>
    </row>
    <row r="35" spans="1:7" hidden="1" x14ac:dyDescent="0.25">
      <c r="A35" s="35" t="s">
        <v>342</v>
      </c>
      <c r="B35" s="20"/>
      <c r="C35" s="21"/>
      <c r="D35" s="22">
        <v>0</v>
      </c>
    </row>
    <row r="36" spans="1:7" x14ac:dyDescent="0.25">
      <c r="A36" s="187" t="s">
        <v>256</v>
      </c>
      <c r="B36" s="20">
        <v>50988.77</v>
      </c>
      <c r="C36" s="21" t="s">
        <v>234</v>
      </c>
      <c r="D36" s="22">
        <v>0</v>
      </c>
    </row>
    <row r="37" spans="1:7" hidden="1" x14ac:dyDescent="0.25">
      <c r="A37" s="35" t="s">
        <v>257</v>
      </c>
      <c r="B37" s="23">
        <v>0</v>
      </c>
      <c r="C37" s="21"/>
      <c r="D37" s="22">
        <v>0</v>
      </c>
    </row>
    <row r="38" spans="1:7" hidden="1" x14ac:dyDescent="0.25">
      <c r="A38" s="35" t="s">
        <v>258</v>
      </c>
      <c r="B38" s="23">
        <v>0</v>
      </c>
      <c r="C38" s="21"/>
      <c r="D38" s="22">
        <v>0</v>
      </c>
    </row>
    <row r="39" spans="1:7" x14ac:dyDescent="0.25">
      <c r="A39" s="187" t="s">
        <v>259</v>
      </c>
      <c r="B39" s="20">
        <v>8409.15</v>
      </c>
      <c r="C39" s="21"/>
      <c r="D39" s="22">
        <v>0</v>
      </c>
    </row>
    <row r="40" spans="1:7" hidden="1" x14ac:dyDescent="0.25">
      <c r="A40" s="35" t="s">
        <v>312</v>
      </c>
      <c r="B40" s="23">
        <v>0</v>
      </c>
      <c r="C40" s="21"/>
      <c r="D40" s="22"/>
    </row>
    <row r="41" spans="1:7" hidden="1" x14ac:dyDescent="0.25">
      <c r="A41" s="35" t="s">
        <v>257</v>
      </c>
      <c r="B41" s="20"/>
      <c r="C41" s="21"/>
      <c r="D41" s="22"/>
    </row>
    <row r="42" spans="1:7" s="34" customFormat="1" ht="47.25" x14ac:dyDescent="0.25">
      <c r="A42" s="186" t="s">
        <v>261</v>
      </c>
      <c r="B42" s="32">
        <f>SUM(B43:B45)</f>
        <v>23716.600000000006</v>
      </c>
      <c r="C42" s="21"/>
      <c r="D42" s="22"/>
      <c r="E42" s="33"/>
      <c r="F42" s="33"/>
      <c r="G42" s="33"/>
    </row>
    <row r="43" spans="1:7" x14ac:dyDescent="0.25">
      <c r="A43" s="187" t="s">
        <v>262</v>
      </c>
      <c r="B43" s="20">
        <f>2104.5+852.8</f>
        <v>2957.3</v>
      </c>
      <c r="C43" s="39"/>
      <c r="D43" s="40"/>
    </row>
    <row r="44" spans="1:7" x14ac:dyDescent="0.25">
      <c r="A44" s="187" t="s">
        <v>263</v>
      </c>
      <c r="B44" s="20">
        <f>78.3+521</f>
        <v>599.29999999999995</v>
      </c>
      <c r="C44" s="39"/>
      <c r="D44" s="40"/>
    </row>
    <row r="45" spans="1:7" x14ac:dyDescent="0.25">
      <c r="A45" s="163" t="s">
        <v>264</v>
      </c>
      <c r="B45" s="20">
        <f>18000*1.12</f>
        <v>20160.000000000004</v>
      </c>
      <c r="C45" s="39"/>
      <c r="D45" s="40"/>
    </row>
    <row r="46" spans="1:7" s="8" customFormat="1" x14ac:dyDescent="0.25">
      <c r="A46" s="186" t="s">
        <v>265</v>
      </c>
      <c r="B46" s="32">
        <f>SUM(B47:B63)</f>
        <v>55676.44</v>
      </c>
      <c r="C46" s="21"/>
      <c r="D46" s="22"/>
    </row>
    <row r="47" spans="1:7" x14ac:dyDescent="0.25">
      <c r="A47" s="187" t="s">
        <v>266</v>
      </c>
      <c r="B47" s="20">
        <v>3880.8</v>
      </c>
      <c r="C47" s="21"/>
      <c r="D47" s="22"/>
      <c r="E47" s="3" t="s">
        <v>267</v>
      </c>
    </row>
    <row r="48" spans="1:7" x14ac:dyDescent="0.25">
      <c r="A48" s="187" t="s">
        <v>268</v>
      </c>
      <c r="B48" s="20">
        <v>4712.3999999999996</v>
      </c>
      <c r="C48" s="21"/>
      <c r="D48" s="22"/>
      <c r="E48" s="3" t="s">
        <v>269</v>
      </c>
    </row>
    <row r="49" spans="1:5" hidden="1" x14ac:dyDescent="0.25">
      <c r="A49" s="188" t="s">
        <v>270</v>
      </c>
      <c r="B49" s="43">
        <v>0</v>
      </c>
      <c r="C49" s="21"/>
      <c r="D49" s="22"/>
    </row>
    <row r="50" spans="1:5" hidden="1" x14ac:dyDescent="0.25">
      <c r="A50" s="188" t="s">
        <v>271</v>
      </c>
      <c r="B50" s="43">
        <v>0</v>
      </c>
      <c r="C50" s="21"/>
      <c r="D50" s="22"/>
    </row>
    <row r="51" spans="1:5" hidden="1" x14ac:dyDescent="0.25">
      <c r="A51" s="188" t="s">
        <v>272</v>
      </c>
      <c r="B51" s="43">
        <v>0</v>
      </c>
      <c r="C51" s="21"/>
      <c r="D51" s="22"/>
    </row>
    <row r="52" spans="1:5" x14ac:dyDescent="0.25">
      <c r="A52" s="188" t="s">
        <v>540</v>
      </c>
      <c r="B52" s="20">
        <v>18604.080000000002</v>
      </c>
      <c r="C52" s="21">
        <v>0</v>
      </c>
      <c r="D52" s="22">
        <v>522.99</v>
      </c>
    </row>
    <row r="53" spans="1:5" x14ac:dyDescent="0.25">
      <c r="A53" s="188" t="s">
        <v>275</v>
      </c>
      <c r="B53" s="20">
        <v>8133.61</v>
      </c>
      <c r="C53" s="21">
        <v>1</v>
      </c>
      <c r="D53" s="44">
        <v>700.55</v>
      </c>
    </row>
    <row r="54" spans="1:5" x14ac:dyDescent="0.25">
      <c r="A54" s="188" t="s">
        <v>546</v>
      </c>
      <c r="B54" s="20">
        <v>4200</v>
      </c>
      <c r="C54" s="21"/>
      <c r="D54" s="44"/>
    </row>
    <row r="55" spans="1:5" hidden="1" x14ac:dyDescent="0.25">
      <c r="A55" s="188" t="s">
        <v>365</v>
      </c>
      <c r="B55" s="20"/>
      <c r="C55" s="21">
        <v>0</v>
      </c>
      <c r="D55" s="22">
        <f>10695.76/1.18</f>
        <v>9064.203389830509</v>
      </c>
    </row>
    <row r="56" spans="1:5" hidden="1" x14ac:dyDescent="0.25">
      <c r="A56" s="188" t="s">
        <v>346</v>
      </c>
      <c r="B56" s="20"/>
      <c r="C56" s="21">
        <v>1</v>
      </c>
      <c r="D56" s="22">
        <f>2300/1.18</f>
        <v>1949.1525423728815</v>
      </c>
    </row>
    <row r="57" spans="1:5" x14ac:dyDescent="0.25">
      <c r="A57" s="188" t="s">
        <v>282</v>
      </c>
      <c r="B57" s="20">
        <v>261</v>
      </c>
      <c r="C57" s="21">
        <v>0</v>
      </c>
      <c r="D57" s="22">
        <v>0</v>
      </c>
    </row>
    <row r="58" spans="1:5" hidden="1" x14ac:dyDescent="0.25">
      <c r="A58" s="187" t="s">
        <v>366</v>
      </c>
      <c r="B58" s="20"/>
      <c r="C58" s="21"/>
      <c r="D58" s="22"/>
    </row>
    <row r="59" spans="1:5" hidden="1" x14ac:dyDescent="0.25">
      <c r="A59" s="187" t="s">
        <v>351</v>
      </c>
      <c r="B59" s="20"/>
      <c r="C59" s="21"/>
      <c r="D59" s="22">
        <v>0</v>
      </c>
    </row>
    <row r="60" spans="1:5" x14ac:dyDescent="0.25">
      <c r="A60" s="187" t="s">
        <v>283</v>
      </c>
      <c r="B60" s="20">
        <v>15884.55</v>
      </c>
      <c r="C60" s="21"/>
      <c r="D60" s="22">
        <v>0</v>
      </c>
    </row>
    <row r="61" spans="1:5" hidden="1" x14ac:dyDescent="0.25">
      <c r="A61" s="187" t="s">
        <v>352</v>
      </c>
      <c r="B61" s="45"/>
      <c r="C61" s="46">
        <v>1</v>
      </c>
      <c r="D61" s="22">
        <v>0</v>
      </c>
    </row>
    <row r="62" spans="1:5" hidden="1" x14ac:dyDescent="0.25">
      <c r="A62" s="187" t="s">
        <v>284</v>
      </c>
      <c r="B62" s="45">
        <v>0</v>
      </c>
      <c r="C62" s="46">
        <v>70</v>
      </c>
      <c r="D62" s="22">
        <v>2</v>
      </c>
      <c r="E62" s="3">
        <v>0</v>
      </c>
    </row>
    <row r="63" spans="1:5" hidden="1" x14ac:dyDescent="0.25">
      <c r="A63" s="187" t="s">
        <v>285</v>
      </c>
      <c r="B63" s="45">
        <v>0</v>
      </c>
      <c r="C63" s="48">
        <v>70</v>
      </c>
      <c r="D63" s="40">
        <v>560</v>
      </c>
    </row>
    <row r="64" spans="1:5" s="8" customFormat="1" x14ac:dyDescent="0.25">
      <c r="A64" s="189" t="s">
        <v>286</v>
      </c>
      <c r="B64" s="32">
        <f>SUM(B65:B72)</f>
        <v>227383.92320000002</v>
      </c>
      <c r="C64" s="39"/>
      <c r="D64" s="40"/>
    </row>
    <row r="65" spans="1:4" hidden="1" x14ac:dyDescent="0.25">
      <c r="A65" s="187" t="s">
        <v>287</v>
      </c>
      <c r="B65" s="20">
        <v>0</v>
      </c>
      <c r="C65" s="39"/>
      <c r="D65" s="40"/>
    </row>
    <row r="66" spans="1:4" x14ac:dyDescent="0.25">
      <c r="A66" s="187" t="s">
        <v>288</v>
      </c>
      <c r="B66" s="20">
        <f>85175*1.04*1.12</f>
        <v>99211.840000000011</v>
      </c>
      <c r="C66" s="39"/>
      <c r="D66" s="40"/>
    </row>
    <row r="67" spans="1:4" hidden="1" x14ac:dyDescent="0.25">
      <c r="A67" s="187" t="s">
        <v>289</v>
      </c>
      <c r="B67" s="20">
        <v>0</v>
      </c>
      <c r="C67" s="39"/>
      <c r="D67" s="40"/>
    </row>
    <row r="68" spans="1:4" x14ac:dyDescent="0.25">
      <c r="A68" s="163" t="s">
        <v>290</v>
      </c>
      <c r="B68" s="20">
        <f>3000*1.12</f>
        <v>3360.0000000000005</v>
      </c>
      <c r="C68" s="39"/>
      <c r="D68" s="40"/>
    </row>
    <row r="69" spans="1:4" x14ac:dyDescent="0.25">
      <c r="A69" s="163" t="s">
        <v>291</v>
      </c>
      <c r="B69" s="20">
        <f>19000*1.12</f>
        <v>21280.000000000004</v>
      </c>
      <c r="C69" s="39"/>
      <c r="D69" s="40"/>
    </row>
    <row r="70" spans="1:4" x14ac:dyDescent="0.25">
      <c r="A70" s="163" t="s">
        <v>292</v>
      </c>
      <c r="B70" s="20">
        <f>34184*1.04*1.12</f>
        <v>39817.523200000003</v>
      </c>
      <c r="C70" s="39"/>
      <c r="D70" s="40"/>
    </row>
    <row r="71" spans="1:4" x14ac:dyDescent="0.25">
      <c r="A71" s="163" t="s">
        <v>293</v>
      </c>
      <c r="B71" s="20">
        <f>5800*1.04*1.12</f>
        <v>6755.8400000000011</v>
      </c>
      <c r="C71" s="39"/>
      <c r="D71" s="40"/>
    </row>
    <row r="72" spans="1:4" x14ac:dyDescent="0.25">
      <c r="A72" s="163" t="s">
        <v>294</v>
      </c>
      <c r="B72" s="20">
        <f>48900*1.04*1.12</f>
        <v>56958.720000000008</v>
      </c>
      <c r="C72" s="39"/>
      <c r="D72" s="40"/>
    </row>
    <row r="73" spans="1:4" ht="63" x14ac:dyDescent="0.25">
      <c r="A73" s="190" t="s">
        <v>295</v>
      </c>
      <c r="B73" s="32">
        <f>SUM(B74:B74)</f>
        <v>139044.5056</v>
      </c>
      <c r="C73" s="39"/>
      <c r="D73" s="40"/>
    </row>
    <row r="74" spans="1:4" x14ac:dyDescent="0.25">
      <c r="A74" s="163" t="s">
        <v>296</v>
      </c>
      <c r="B74" s="20">
        <f>119372*1.04*1.12</f>
        <v>139044.5056</v>
      </c>
      <c r="C74" s="39"/>
      <c r="D74" s="40"/>
    </row>
    <row r="75" spans="1:4" s="8" customFormat="1" x14ac:dyDescent="0.25">
      <c r="A75" s="189" t="s">
        <v>297</v>
      </c>
      <c r="B75" s="32">
        <f>SUM(B76:B79)</f>
        <v>104734.65000000001</v>
      </c>
      <c r="C75" s="39"/>
      <c r="D75" s="40"/>
    </row>
    <row r="76" spans="1:4" x14ac:dyDescent="0.25">
      <c r="A76" s="166" t="s">
        <v>298</v>
      </c>
      <c r="B76" s="20">
        <f>70000*1.12</f>
        <v>78400.000000000015</v>
      </c>
      <c r="C76" s="39"/>
      <c r="D76" s="40"/>
    </row>
    <row r="77" spans="1:4" hidden="1" x14ac:dyDescent="0.25">
      <c r="A77" s="166" t="s">
        <v>299</v>
      </c>
      <c r="B77" s="20">
        <f>(B26/1.2)*30%</f>
        <v>0</v>
      </c>
      <c r="C77" s="39"/>
      <c r="D77" s="40"/>
    </row>
    <row r="78" spans="1:4" x14ac:dyDescent="0.25">
      <c r="A78" s="191" t="s">
        <v>300</v>
      </c>
      <c r="B78" s="20">
        <f>8396.58+7858.07</f>
        <v>16254.65</v>
      </c>
      <c r="C78" s="39"/>
      <c r="D78" s="40"/>
    </row>
    <row r="79" spans="1:4" x14ac:dyDescent="0.25">
      <c r="A79" s="191" t="s">
        <v>301</v>
      </c>
      <c r="B79" s="20">
        <f>9000*1.12</f>
        <v>10080.000000000002</v>
      </c>
      <c r="C79" s="39"/>
      <c r="D79" s="40"/>
    </row>
    <row r="80" spans="1:4" x14ac:dyDescent="0.25">
      <c r="A80" s="192" t="s">
        <v>302</v>
      </c>
      <c r="B80" s="25">
        <f>B32+B42+B46+B64+B73+B75</f>
        <v>645794.0388000001</v>
      </c>
      <c r="C80" s="39"/>
      <c r="D80" s="40"/>
    </row>
    <row r="81" spans="1:4" x14ac:dyDescent="0.25">
      <c r="A81" s="193" t="s">
        <v>303</v>
      </c>
      <c r="B81" s="20">
        <f>B80*0.03</f>
        <v>19373.821164000001</v>
      </c>
      <c r="C81" s="39"/>
      <c r="D81" s="40"/>
    </row>
    <row r="82" spans="1:4" s="34" customFormat="1" x14ac:dyDescent="0.25">
      <c r="A82" s="194" t="s">
        <v>304</v>
      </c>
      <c r="B82" s="32">
        <f>B80+B81</f>
        <v>665167.85996400006</v>
      </c>
      <c r="C82" s="39"/>
      <c r="D82" s="40"/>
    </row>
    <row r="83" spans="1:4" ht="16.5" thickBot="1" x14ac:dyDescent="0.3">
      <c r="A83" s="195" t="s">
        <v>305</v>
      </c>
      <c r="B83" s="57">
        <f>B82*0.2</f>
        <v>133033.57199280002</v>
      </c>
      <c r="C83" s="39"/>
      <c r="D83" s="40"/>
    </row>
    <row r="84" spans="1:4" s="8" customFormat="1" ht="16.5" thickBot="1" x14ac:dyDescent="0.3">
      <c r="A84" s="196" t="s">
        <v>306</v>
      </c>
      <c r="B84" s="59">
        <f>B82+B83</f>
        <v>798201.43195680005</v>
      </c>
      <c r="C84" s="60"/>
      <c r="D84" s="61"/>
    </row>
    <row r="85" spans="1:4" s="8" customFormat="1" ht="16.5" thickBot="1" x14ac:dyDescent="0.3">
      <c r="A85" s="197" t="s">
        <v>307</v>
      </c>
      <c r="B85" s="59">
        <f>B10+B24+B26+B28+B29-B84</f>
        <v>-1366083.2619568</v>
      </c>
      <c r="C85" s="63"/>
      <c r="D85" s="63"/>
    </row>
    <row r="86" spans="1:4" s="8" customFormat="1" ht="16.5" thickBot="1" x14ac:dyDescent="0.3">
      <c r="A86" s="198" t="s">
        <v>308</v>
      </c>
      <c r="B86" s="59">
        <f>B10+B25+B27++B28+B29-B84</f>
        <v>-1388420.9919568</v>
      </c>
      <c r="C86" s="63"/>
      <c r="D86" s="63"/>
    </row>
    <row r="87" spans="1:4" s="8" customFormat="1" ht="16.5" hidden="1" thickBot="1" x14ac:dyDescent="0.3">
      <c r="A87" s="199" t="s">
        <v>309</v>
      </c>
      <c r="B87" s="296">
        <f>B11+B24-B25</f>
        <v>22337.729999999981</v>
      </c>
      <c r="C87" s="63"/>
      <c r="D87" s="63"/>
    </row>
    <row r="88" spans="1:4" s="8" customFormat="1" x14ac:dyDescent="0.25">
      <c r="A88" s="200"/>
      <c r="B88" s="68"/>
      <c r="C88" s="63"/>
      <c r="D88" s="63"/>
    </row>
    <row r="89" spans="1:4" hidden="1" x14ac:dyDescent="0.25">
      <c r="A89" s="201"/>
    </row>
    <row r="90" spans="1:4" x14ac:dyDescent="0.25">
      <c r="A90" s="310" t="s">
        <v>310</v>
      </c>
      <c r="B90" s="310"/>
    </row>
    <row r="91" spans="1:4" x14ac:dyDescent="0.25">
      <c r="A91" s="201"/>
      <c r="B91" s="71"/>
    </row>
    <row r="92" spans="1:4" x14ac:dyDescent="0.25">
      <c r="A92" s="312"/>
      <c r="B92" s="312"/>
      <c r="C92" s="72"/>
    </row>
    <row r="93" spans="1:4" x14ac:dyDescent="0.25">
      <c r="A93" s="70"/>
    </row>
  </sheetData>
  <autoFilter ref="A32:B87" xr:uid="{00000000-0009-0000-0000-000013000000}">
    <filterColumn colId="1">
      <filters>
        <filter val="10 951,31"/>
        <filter val="10 983,04"/>
        <filter val="114 781,62"/>
        <filter val="118 240,75"/>
        <filter val="12 698,12"/>
        <filter val="122 703,24"/>
        <filter val="17 869,40"/>
        <filter val="187 382,07"/>
        <filter val="20 233,87"/>
        <filter val="23 855,27"/>
        <filter val="27 510,09"/>
        <filter val="3 064,60"/>
        <filter val="3 096,00"/>
        <filter val="3 744,12"/>
        <filter val="33 333,69"/>
        <filter val="33 374,36"/>
        <filter val="4 511,95"/>
        <filter val="43 636,37"/>
        <filter val="44 321,38"/>
        <filter val="46 332,47"/>
        <filter val="5 666,90"/>
        <filter val="53 685,50"/>
        <filter val="58 852,07"/>
        <filter val="595 646,81"/>
        <filter val="613 516,22"/>
        <filter val="-694 527,75"/>
        <filter val="-695 499,02"/>
        <filter val="7 290,64"/>
        <filter val="736 219,46"/>
        <filter val="776,16"/>
        <filter val="8 001,15"/>
        <filter val="8 007,65"/>
        <filter val="8 586,86"/>
        <filter val="85 175,22"/>
        <filter val="9 538,57"/>
        <filter val="-971,27"/>
      </filters>
    </filterColumn>
  </autoFilter>
  <mergeCells count="9">
    <mergeCell ref="D8:D9"/>
    <mergeCell ref="A90:B90"/>
    <mergeCell ref="A92:B92"/>
    <mergeCell ref="A1:B1"/>
    <mergeCell ref="A2:B2"/>
    <mergeCell ref="A3:B3"/>
    <mergeCell ref="A8:A9"/>
    <mergeCell ref="B8:B9"/>
    <mergeCell ref="C8:C9"/>
  </mergeCells>
  <phoneticPr fontId="43" type="noConversion"/>
  <pageMargins left="0.70866141732283472" right="0.70866141732283472" top="0.74803149606299213" bottom="0.74803149606299213" header="0.31496062992125984" footer="0.31496062992125984"/>
  <pageSetup paperSize="9" scale="73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filterMode="1">
    <pageSetUpPr fitToPage="1"/>
  </sheetPr>
  <dimension ref="A1:G95"/>
  <sheetViews>
    <sheetView view="pageBreakPreview" topLeftCell="A30" zoomScale="80" zoomScaleNormal="100" zoomScaleSheetLayoutView="80" workbookViewId="0">
      <selection activeCell="B80" sqref="B80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25" t="s">
        <v>224</v>
      </c>
      <c r="B1" s="340"/>
      <c r="C1" s="77"/>
      <c r="D1" s="77"/>
    </row>
    <row r="2" spans="1:4" ht="16.5" x14ac:dyDescent="0.25">
      <c r="A2" s="326" t="s">
        <v>225</v>
      </c>
      <c r="B2" s="341"/>
      <c r="C2" s="77"/>
      <c r="D2" s="77"/>
    </row>
    <row r="3" spans="1:4" ht="16.5" x14ac:dyDescent="0.25">
      <c r="A3" s="326" t="s">
        <v>226</v>
      </c>
      <c r="B3" s="341"/>
      <c r="C3" s="77"/>
      <c r="D3" s="77"/>
    </row>
    <row r="4" spans="1:4" ht="15.75" x14ac:dyDescent="0.25">
      <c r="A4" s="78" t="s">
        <v>516</v>
      </c>
      <c r="B4" s="136"/>
      <c r="C4" s="77"/>
      <c r="D4" s="77"/>
    </row>
    <row r="5" spans="1:4" ht="15.75" x14ac:dyDescent="0.25">
      <c r="A5" s="78" t="s">
        <v>42</v>
      </c>
      <c r="B5" s="137"/>
      <c r="C5" s="77"/>
      <c r="D5" s="77"/>
    </row>
    <row r="6" spans="1:4" ht="5.25" customHeight="1" x14ac:dyDescent="0.25">
      <c r="A6" s="78"/>
      <c r="B6" s="7"/>
      <c r="C6" s="79"/>
      <c r="D6" s="77"/>
    </row>
    <row r="7" spans="1:4" ht="16.5" thickBot="1" x14ac:dyDescent="0.3">
      <c r="A7" s="80"/>
      <c r="B7" s="7"/>
      <c r="C7" s="79"/>
      <c r="D7" s="77"/>
    </row>
    <row r="8" spans="1:4" ht="15.75" customHeight="1" x14ac:dyDescent="0.2">
      <c r="A8" s="327" t="s">
        <v>227</v>
      </c>
      <c r="B8" s="319" t="s">
        <v>228</v>
      </c>
      <c r="C8" s="331" t="s">
        <v>229</v>
      </c>
      <c r="D8" s="321" t="s">
        <v>230</v>
      </c>
    </row>
    <row r="9" spans="1:4" ht="28.5" customHeight="1" thickBot="1" x14ac:dyDescent="0.25">
      <c r="A9" s="328"/>
      <c r="B9" s="320"/>
      <c r="C9" s="332"/>
      <c r="D9" s="322"/>
    </row>
    <row r="10" spans="1:4" ht="16.5" thickBot="1" x14ac:dyDescent="0.25">
      <c r="A10" s="81" t="s">
        <v>231</v>
      </c>
      <c r="B10" s="302">
        <f>VLOOKUP(A5,мкд!S:T,2,FALSE)</f>
        <v>123055.34</v>
      </c>
      <c r="C10" s="83"/>
      <c r="D10" s="84"/>
    </row>
    <row r="11" spans="1:4" ht="16.5" hidden="1" thickBot="1" x14ac:dyDescent="0.25">
      <c r="A11" s="85" t="s">
        <v>232</v>
      </c>
      <c r="B11" s="82"/>
      <c r="C11" s="84"/>
      <c r="D11" s="86"/>
    </row>
    <row r="12" spans="1:4" ht="16.5" thickBot="1" x14ac:dyDescent="0.3">
      <c r="A12" s="87" t="s">
        <v>233</v>
      </c>
      <c r="B12" s="88"/>
      <c r="C12" s="89" t="s">
        <v>234</v>
      </c>
      <c r="D12" s="90" t="s">
        <v>234</v>
      </c>
    </row>
    <row r="13" spans="1:4" ht="16.5" hidden="1" thickBot="1" x14ac:dyDescent="0.3">
      <c r="A13" s="91" t="s">
        <v>235</v>
      </c>
      <c r="B13" s="20">
        <v>1126.5999999999999</v>
      </c>
      <c r="C13" s="90" t="s">
        <v>234</v>
      </c>
      <c r="D13" s="92" t="s">
        <v>234</v>
      </c>
    </row>
    <row r="14" spans="1:4" ht="16.5" hidden="1" thickBot="1" x14ac:dyDescent="0.3">
      <c r="A14" s="91" t="s">
        <v>236</v>
      </c>
      <c r="B14" s="20">
        <v>0</v>
      </c>
      <c r="C14" s="93"/>
      <c r="D14" s="92"/>
    </row>
    <row r="15" spans="1:4" ht="15.75" x14ac:dyDescent="0.25">
      <c r="A15" s="91" t="s">
        <v>237</v>
      </c>
      <c r="B15" s="20">
        <f>B13+B14</f>
        <v>1126.5999999999999</v>
      </c>
      <c r="C15" s="94"/>
      <c r="D15" s="95"/>
    </row>
    <row r="16" spans="1:4" ht="16.5" thickBot="1" x14ac:dyDescent="0.3">
      <c r="A16" s="91" t="s">
        <v>238</v>
      </c>
      <c r="B16" s="20">
        <f>471.5+203.7/3</f>
        <v>539.4</v>
      </c>
      <c r="C16" s="96" t="s">
        <v>234</v>
      </c>
      <c r="D16" s="95" t="s">
        <v>234</v>
      </c>
    </row>
    <row r="17" spans="1:7" ht="16.5" hidden="1" thickBot="1" x14ac:dyDescent="0.3">
      <c r="A17" s="91" t="s">
        <v>239</v>
      </c>
      <c r="B17" s="20">
        <f>134+34.7</f>
        <v>168.7</v>
      </c>
      <c r="C17" s="90" t="s">
        <v>234</v>
      </c>
      <c r="D17" s="92" t="s">
        <v>234</v>
      </c>
      <c r="E17" s="77"/>
      <c r="F17" s="77"/>
      <c r="G17" s="77"/>
    </row>
    <row r="18" spans="1:7" ht="16.5" hidden="1" thickBot="1" x14ac:dyDescent="0.3">
      <c r="A18" s="91" t="s">
        <v>240</v>
      </c>
      <c r="B18" s="20">
        <v>370.5</v>
      </c>
      <c r="C18" s="95" t="s">
        <v>234</v>
      </c>
      <c r="D18" s="92" t="s">
        <v>234</v>
      </c>
      <c r="E18" s="77"/>
      <c r="F18" s="77"/>
      <c r="G18" s="77"/>
    </row>
    <row r="19" spans="1:7" ht="16.5" hidden="1" thickBot="1" x14ac:dyDescent="0.3">
      <c r="A19" s="91" t="s">
        <v>241</v>
      </c>
      <c r="B19" s="20">
        <v>0</v>
      </c>
      <c r="C19" s="95" t="s">
        <v>234</v>
      </c>
      <c r="D19" s="92" t="s">
        <v>234</v>
      </c>
      <c r="E19" s="77"/>
      <c r="F19" s="77"/>
      <c r="G19" s="77"/>
    </row>
    <row r="20" spans="1:7" ht="16.5" hidden="1" thickBot="1" x14ac:dyDescent="0.3">
      <c r="A20" s="91" t="s">
        <v>242</v>
      </c>
      <c r="B20" s="20">
        <v>426</v>
      </c>
      <c r="C20" s="95"/>
      <c r="D20" s="92"/>
      <c r="E20" s="77"/>
      <c r="F20" s="77"/>
      <c r="G20" s="77"/>
    </row>
    <row r="21" spans="1:7" ht="16.5" hidden="1" thickBot="1" x14ac:dyDescent="0.3">
      <c r="A21" s="91" t="s">
        <v>243</v>
      </c>
      <c r="B21" s="20">
        <v>0</v>
      </c>
      <c r="C21" s="95" t="s">
        <v>234</v>
      </c>
      <c r="D21" s="92" t="s">
        <v>234</v>
      </c>
      <c r="E21" s="77"/>
      <c r="F21" s="77"/>
      <c r="G21" s="77"/>
    </row>
    <row r="22" spans="1:7" ht="16.5" hidden="1" thickBot="1" x14ac:dyDescent="0.3">
      <c r="A22" s="91" t="s">
        <v>244</v>
      </c>
      <c r="B22" s="20">
        <v>58</v>
      </c>
      <c r="C22" s="93"/>
      <c r="D22" s="92"/>
      <c r="E22" s="77"/>
      <c r="F22" s="77"/>
      <c r="G22" s="77"/>
    </row>
    <row r="23" spans="1:7" ht="15.75" x14ac:dyDescent="0.25">
      <c r="A23" s="91"/>
      <c r="B23" s="20"/>
      <c r="C23" s="94"/>
      <c r="D23" s="95"/>
      <c r="E23" s="77">
        <v>10</v>
      </c>
      <c r="F23" s="77">
        <v>2</v>
      </c>
      <c r="G23" s="77"/>
    </row>
    <row r="24" spans="1:7" ht="15.75" x14ac:dyDescent="0.25">
      <c r="A24" s="97" t="s">
        <v>319</v>
      </c>
      <c r="B24" s="25">
        <f>VLOOKUP(A5,[1]Лист1!M$1:N$65536,2,FALSE)</f>
        <v>248190.02</v>
      </c>
      <c r="C24" s="92"/>
      <c r="D24" s="95"/>
      <c r="E24" s="26">
        <v>18</v>
      </c>
      <c r="F24" s="27">
        <v>20.1492</v>
      </c>
      <c r="G24" s="77"/>
    </row>
    <row r="25" spans="1:7" ht="16.5" thickBot="1" x14ac:dyDescent="0.3">
      <c r="A25" s="97" t="s">
        <v>320</v>
      </c>
      <c r="B25" s="25">
        <f>VLOOKUP(A5,[1]Лист1!M$1:O$65536,3,FALSE)</f>
        <v>237934.37</v>
      </c>
      <c r="C25" s="96"/>
      <c r="D25" s="95"/>
      <c r="E25" s="77"/>
      <c r="F25" s="77"/>
      <c r="G25" s="77"/>
    </row>
    <row r="26" spans="1:7" ht="16.5" hidden="1" thickBot="1" x14ac:dyDescent="0.3">
      <c r="A26" s="97" t="s">
        <v>321</v>
      </c>
      <c r="B26" s="25"/>
      <c r="C26" s="90"/>
      <c r="D26" s="92"/>
      <c r="E26" s="77"/>
      <c r="F26" s="77"/>
      <c r="G26" s="77"/>
    </row>
    <row r="27" spans="1:7" ht="16.5" hidden="1" thickBot="1" x14ac:dyDescent="0.3">
      <c r="A27" s="97" t="s">
        <v>248</v>
      </c>
      <c r="B27" s="25">
        <f>B26</f>
        <v>0</v>
      </c>
      <c r="C27" s="93"/>
      <c r="D27" s="92"/>
      <c r="E27" s="77"/>
      <c r="F27" s="77"/>
      <c r="G27" s="77"/>
    </row>
    <row r="28" spans="1:7" ht="16.5" hidden="1" thickBot="1" x14ac:dyDescent="0.3">
      <c r="A28" s="97" t="s">
        <v>249</v>
      </c>
      <c r="B28" s="25"/>
      <c r="C28" s="89"/>
      <c r="D28" s="95"/>
      <c r="E28" s="77"/>
      <c r="F28" s="77"/>
      <c r="G28" s="77"/>
    </row>
    <row r="29" spans="1:7" ht="16.5" hidden="1" thickBot="1" x14ac:dyDescent="0.3">
      <c r="A29" s="97" t="s">
        <v>250</v>
      </c>
      <c r="B29" s="25"/>
      <c r="C29" s="98"/>
      <c r="D29" s="92"/>
      <c r="E29" s="77"/>
      <c r="F29" s="77"/>
      <c r="G29" s="77"/>
    </row>
    <row r="30" spans="1:7" ht="15.75" x14ac:dyDescent="0.25">
      <c r="A30" s="99"/>
      <c r="B30" s="20"/>
      <c r="C30" s="94"/>
      <c r="D30" s="95"/>
      <c r="E30" s="77"/>
      <c r="F30" s="77"/>
      <c r="G30" s="77"/>
    </row>
    <row r="31" spans="1:7" ht="15.75" x14ac:dyDescent="0.25">
      <c r="A31" s="100" t="s">
        <v>251</v>
      </c>
      <c r="B31" s="20"/>
      <c r="C31" s="92"/>
      <c r="D31" s="95"/>
      <c r="E31" s="77"/>
      <c r="F31" s="77"/>
      <c r="G31" s="77"/>
    </row>
    <row r="32" spans="1:7" s="103" customFormat="1" ht="31.5" x14ac:dyDescent="0.25">
      <c r="A32" s="101" t="s">
        <v>252</v>
      </c>
      <c r="B32" s="32">
        <f>SUM(B33:B41)</f>
        <v>100861.36</v>
      </c>
      <c r="C32" s="92"/>
      <c r="D32" s="95"/>
      <c r="E32" s="102">
        <f>(B86-B26-B24)/1.2/1.03</f>
        <v>43851.764402002955</v>
      </c>
      <c r="F32" s="102" t="e">
        <f>(#REF!-#REF!-#REF!)/1.2/1.03</f>
        <v>#REF!</v>
      </c>
      <c r="G32" s="102" t="e">
        <f>(#REF!-#REF!-#REF!)/1.2/1.03</f>
        <v>#REF!</v>
      </c>
    </row>
    <row r="33" spans="1:7" ht="16.5" hidden="1" thickBot="1" x14ac:dyDescent="0.3">
      <c r="A33" s="104" t="s">
        <v>253</v>
      </c>
      <c r="B33" s="23">
        <v>0</v>
      </c>
      <c r="C33" s="96"/>
      <c r="D33" s="95">
        <v>15644.13</v>
      </c>
      <c r="E33" s="77"/>
      <c r="F33" s="77"/>
      <c r="G33" s="77"/>
    </row>
    <row r="34" spans="1:7" ht="15.75" x14ac:dyDescent="0.25">
      <c r="A34" s="104" t="s">
        <v>253</v>
      </c>
      <c r="B34" s="20">
        <f>8000*1.12</f>
        <v>8960</v>
      </c>
      <c r="C34" s="90"/>
      <c r="D34" s="92">
        <v>0</v>
      </c>
      <c r="E34" s="77"/>
      <c r="F34" s="77"/>
      <c r="G34" s="77"/>
    </row>
    <row r="35" spans="1:7" ht="15.75" hidden="1" x14ac:dyDescent="0.25">
      <c r="A35" s="104" t="s">
        <v>256</v>
      </c>
      <c r="B35" s="20"/>
      <c r="C35" s="95"/>
      <c r="D35" s="92">
        <v>0</v>
      </c>
      <c r="E35" s="77"/>
      <c r="F35" s="77"/>
      <c r="G35" s="77"/>
    </row>
    <row r="36" spans="1:7" ht="16.5" thickBot="1" x14ac:dyDescent="0.3">
      <c r="A36" s="104" t="s">
        <v>255</v>
      </c>
      <c r="B36" s="20">
        <v>91901.36</v>
      </c>
      <c r="C36" s="95" t="s">
        <v>234</v>
      </c>
      <c r="D36" s="92">
        <v>0</v>
      </c>
      <c r="E36" s="77"/>
      <c r="F36" s="77"/>
      <c r="G36" s="77"/>
    </row>
    <row r="37" spans="1:7" ht="16.5" hidden="1" thickBot="1" x14ac:dyDescent="0.3">
      <c r="A37" s="104" t="s">
        <v>257</v>
      </c>
      <c r="B37" s="23">
        <v>0</v>
      </c>
      <c r="C37" s="95"/>
      <c r="D37" s="92">
        <v>0</v>
      </c>
      <c r="E37" s="77"/>
      <c r="F37" s="77"/>
      <c r="G37" s="77"/>
    </row>
    <row r="38" spans="1:7" ht="16.5" hidden="1" thickBot="1" x14ac:dyDescent="0.3">
      <c r="A38" s="104" t="s">
        <v>258</v>
      </c>
      <c r="B38" s="23">
        <v>0</v>
      </c>
      <c r="C38" s="95"/>
      <c r="D38" s="92">
        <v>0</v>
      </c>
      <c r="E38" s="77"/>
      <c r="F38" s="77"/>
      <c r="G38" s="77"/>
    </row>
    <row r="39" spans="1:7" ht="16.5" hidden="1" thickBot="1" x14ac:dyDescent="0.3">
      <c r="A39" s="104" t="s">
        <v>324</v>
      </c>
      <c r="B39" s="23">
        <v>0</v>
      </c>
      <c r="C39" s="95"/>
      <c r="D39" s="92">
        <v>0</v>
      </c>
      <c r="E39" s="77"/>
      <c r="F39" s="77"/>
      <c r="G39" s="77"/>
    </row>
    <row r="40" spans="1:7" ht="16.5" hidden="1" thickBot="1" x14ac:dyDescent="0.3">
      <c r="A40" s="104" t="s">
        <v>312</v>
      </c>
      <c r="B40" s="23">
        <v>0</v>
      </c>
      <c r="C40" s="95"/>
      <c r="D40" s="92"/>
      <c r="E40" s="77"/>
      <c r="F40" s="77"/>
      <c r="G40" s="77"/>
    </row>
    <row r="41" spans="1:7" ht="16.5" hidden="1" thickBot="1" x14ac:dyDescent="0.3">
      <c r="A41" s="104" t="s">
        <v>343</v>
      </c>
      <c r="B41" s="20"/>
      <c r="C41" s="93"/>
      <c r="D41" s="92"/>
      <c r="E41" s="77"/>
      <c r="F41" s="77"/>
      <c r="G41" s="77"/>
    </row>
    <row r="42" spans="1:7" s="103" customFormat="1" ht="48" thickBot="1" x14ac:dyDescent="0.3">
      <c r="A42" s="101" t="s">
        <v>325</v>
      </c>
      <c r="B42" s="32">
        <f>SUM(B43:B45)</f>
        <v>7214.6694643347701</v>
      </c>
      <c r="C42" s="89"/>
      <c r="D42" s="95"/>
      <c r="E42" s="102"/>
      <c r="F42" s="102"/>
      <c r="G42" s="102"/>
    </row>
    <row r="43" spans="1:7" ht="15.75" x14ac:dyDescent="0.25">
      <c r="A43" s="104" t="s">
        <v>262</v>
      </c>
      <c r="B43" s="20">
        <v>1059.71</v>
      </c>
      <c r="C43" s="98"/>
      <c r="D43" s="108"/>
      <c r="E43" s="77"/>
      <c r="F43" s="77"/>
      <c r="G43" s="77"/>
    </row>
    <row r="44" spans="1:7" ht="15.75" x14ac:dyDescent="0.25">
      <c r="A44" s="104" t="s">
        <v>263</v>
      </c>
      <c r="B44" s="20"/>
      <c r="C44" s="93"/>
      <c r="D44" s="108"/>
      <c r="E44" s="77"/>
      <c r="F44" s="77"/>
      <c r="G44" s="77"/>
    </row>
    <row r="45" spans="1:7" ht="16.5" thickBot="1" x14ac:dyDescent="0.3">
      <c r="A45" s="109" t="s">
        <v>264</v>
      </c>
      <c r="B45" s="20">
        <f>[4]тарифы!D163*B15+158.77*1.12</f>
        <v>6154.95946433477</v>
      </c>
      <c r="C45" s="93"/>
      <c r="D45" s="108"/>
      <c r="E45" s="77"/>
      <c r="F45" s="77"/>
      <c r="G45" s="77"/>
    </row>
    <row r="46" spans="1:7" s="79" customFormat="1" ht="16.5" thickBot="1" x14ac:dyDescent="0.3">
      <c r="A46" s="101" t="s">
        <v>265</v>
      </c>
      <c r="B46" s="32">
        <f>SUM(B47:B65)</f>
        <v>12987.74</v>
      </c>
      <c r="C46" s="89"/>
      <c r="D46" s="95"/>
    </row>
    <row r="47" spans="1:7" ht="15.75" x14ac:dyDescent="0.25">
      <c r="A47" s="104" t="s">
        <v>326</v>
      </c>
      <c r="B47" s="20">
        <v>1556.16</v>
      </c>
      <c r="C47" s="90"/>
      <c r="D47" s="92"/>
      <c r="E47" s="77" t="s">
        <v>267</v>
      </c>
      <c r="F47" s="77"/>
      <c r="G47" s="77"/>
    </row>
    <row r="48" spans="1:7" ht="15.75" x14ac:dyDescent="0.25">
      <c r="A48" s="104" t="s">
        <v>317</v>
      </c>
      <c r="B48" s="20">
        <v>1889.58</v>
      </c>
      <c r="C48" s="95"/>
      <c r="D48" s="92"/>
      <c r="E48" s="77" t="s">
        <v>269</v>
      </c>
      <c r="F48" s="77"/>
      <c r="G48" s="77"/>
    </row>
    <row r="49" spans="1:5" ht="15.75" hidden="1" x14ac:dyDescent="0.25">
      <c r="A49" s="110" t="s">
        <v>270</v>
      </c>
      <c r="B49" s="20">
        <v>0</v>
      </c>
      <c r="C49" s="95"/>
      <c r="D49" s="92"/>
      <c r="E49" s="77"/>
    </row>
    <row r="50" spans="1:5" ht="15.75" hidden="1" x14ac:dyDescent="0.25">
      <c r="A50" s="110" t="s">
        <v>271</v>
      </c>
      <c r="B50" s="20">
        <v>0</v>
      </c>
      <c r="C50" s="95"/>
      <c r="D50" s="92">
        <v>4190</v>
      </c>
      <c r="E50" s="77"/>
    </row>
    <row r="51" spans="1:5" ht="15.75" hidden="1" x14ac:dyDescent="0.25">
      <c r="A51" s="110" t="s">
        <v>272</v>
      </c>
      <c r="B51" s="20">
        <v>0</v>
      </c>
      <c r="C51" s="95"/>
      <c r="D51" s="92"/>
      <c r="E51" s="77"/>
    </row>
    <row r="52" spans="1:5" ht="15.75" hidden="1" x14ac:dyDescent="0.25">
      <c r="A52" s="110" t="s">
        <v>273</v>
      </c>
      <c r="B52" s="20">
        <f>B21*[4]тарифы!D177</f>
        <v>0</v>
      </c>
      <c r="C52" s="95"/>
      <c r="D52" s="92">
        <v>105.14</v>
      </c>
      <c r="E52" s="77"/>
    </row>
    <row r="53" spans="1:5" ht="15.75" hidden="1" x14ac:dyDescent="0.25">
      <c r="A53" s="110" t="s">
        <v>274</v>
      </c>
      <c r="B53" s="20">
        <v>0</v>
      </c>
      <c r="C53" s="95">
        <v>0</v>
      </c>
      <c r="D53" s="92">
        <v>522.99</v>
      </c>
      <c r="E53" s="77"/>
    </row>
    <row r="54" spans="1:5" ht="15.75" hidden="1" x14ac:dyDescent="0.25">
      <c r="A54" s="110" t="s">
        <v>275</v>
      </c>
      <c r="B54" s="20">
        <v>0</v>
      </c>
      <c r="C54" s="95">
        <v>0</v>
      </c>
      <c r="D54" s="111">
        <v>695.13</v>
      </c>
      <c r="E54" s="77"/>
    </row>
    <row r="55" spans="1:5" ht="15.75" hidden="1" x14ac:dyDescent="0.25">
      <c r="A55" s="110" t="s">
        <v>276</v>
      </c>
      <c r="B55" s="20">
        <v>0</v>
      </c>
      <c r="C55" s="95"/>
      <c r="D55" s="111"/>
      <c r="E55" s="77"/>
    </row>
    <row r="56" spans="1:5" ht="15.75" hidden="1" x14ac:dyDescent="0.25">
      <c r="A56" s="110" t="s">
        <v>277</v>
      </c>
      <c r="B56" s="20">
        <v>0</v>
      </c>
      <c r="C56" s="95">
        <v>0</v>
      </c>
      <c r="D56" s="92">
        <f>10695.76/1.18</f>
        <v>9064.203389830509</v>
      </c>
      <c r="E56" s="77"/>
    </row>
    <row r="57" spans="1:5" ht="15.75" hidden="1" x14ac:dyDescent="0.25">
      <c r="A57" s="110" t="s">
        <v>314</v>
      </c>
      <c r="B57" s="20">
        <v>0</v>
      </c>
      <c r="C57" s="95">
        <v>0</v>
      </c>
      <c r="D57" s="92">
        <f>2300/1.18</f>
        <v>1949.1525423728815</v>
      </c>
      <c r="E57" s="77"/>
    </row>
    <row r="58" spans="1:5" ht="15.75" hidden="1" x14ac:dyDescent="0.25">
      <c r="A58" s="110" t="s">
        <v>316</v>
      </c>
      <c r="B58" s="20"/>
      <c r="C58" s="93">
        <v>0</v>
      </c>
      <c r="D58" s="92">
        <v>0</v>
      </c>
      <c r="E58" s="77"/>
    </row>
    <row r="59" spans="1:5" ht="16.5" hidden="1" thickBot="1" x14ac:dyDescent="0.3">
      <c r="A59" s="110" t="s">
        <v>279</v>
      </c>
      <c r="B59" s="20">
        <f>B13*[4]тарифы!D184</f>
        <v>0</v>
      </c>
      <c r="C59" s="89"/>
      <c r="D59" s="95"/>
      <c r="E59" s="77"/>
    </row>
    <row r="60" spans="1:5" ht="15.75" hidden="1" x14ac:dyDescent="0.25">
      <c r="A60" s="104" t="s">
        <v>280</v>
      </c>
      <c r="B60" s="20">
        <v>0</v>
      </c>
      <c r="C60" s="90"/>
      <c r="D60" s="92"/>
      <c r="E60" s="77"/>
    </row>
    <row r="61" spans="1:5" ht="15.75" hidden="1" x14ac:dyDescent="0.25">
      <c r="A61" s="104" t="s">
        <v>281</v>
      </c>
      <c r="B61" s="20">
        <v>0</v>
      </c>
      <c r="C61" s="95"/>
      <c r="D61" s="92">
        <v>0</v>
      </c>
      <c r="E61" s="77"/>
    </row>
    <row r="62" spans="1:5" ht="15.75" hidden="1" x14ac:dyDescent="0.25">
      <c r="A62" s="104" t="s">
        <v>340</v>
      </c>
      <c r="B62" s="20">
        <v>0</v>
      </c>
      <c r="C62" s="95"/>
      <c r="D62" s="92">
        <v>0</v>
      </c>
      <c r="E62" s="77"/>
    </row>
    <row r="63" spans="1:5" ht="16.5" thickBot="1" x14ac:dyDescent="0.3">
      <c r="A63" s="104" t="s">
        <v>327</v>
      </c>
      <c r="B63" s="112">
        <v>6862</v>
      </c>
      <c r="C63" s="113">
        <v>1</v>
      </c>
      <c r="D63" s="92">
        <v>0</v>
      </c>
      <c r="E63" s="77"/>
    </row>
    <row r="64" spans="1:5" ht="16.5" thickBot="1" x14ac:dyDescent="0.3">
      <c r="A64" s="104" t="s">
        <v>414</v>
      </c>
      <c r="B64" s="112">
        <v>2680</v>
      </c>
      <c r="C64" s="114">
        <v>20</v>
      </c>
      <c r="D64" s="95">
        <v>2</v>
      </c>
      <c r="E64" s="77">
        <v>1</v>
      </c>
    </row>
    <row r="65" spans="1:4" s="79" customFormat="1" ht="16.5" hidden="1" thickBot="1" x14ac:dyDescent="0.3">
      <c r="A65" s="104" t="s">
        <v>285</v>
      </c>
      <c r="B65" s="112">
        <v>0</v>
      </c>
      <c r="C65" s="115"/>
      <c r="D65" s="108">
        <v>0</v>
      </c>
    </row>
    <row r="66" spans="1:4" s="79" customFormat="1" ht="16.5" thickBot="1" x14ac:dyDescent="0.3">
      <c r="A66" s="116" t="s">
        <v>286</v>
      </c>
      <c r="B66" s="32">
        <f>SUM(B67:B74)</f>
        <v>59358.414918159098</v>
      </c>
      <c r="C66" s="89"/>
      <c r="D66" s="93"/>
    </row>
    <row r="67" spans="1:4" ht="16.5" hidden="1" thickBot="1" x14ac:dyDescent="0.3">
      <c r="A67" s="104" t="s">
        <v>287</v>
      </c>
      <c r="B67" s="20">
        <v>0</v>
      </c>
      <c r="C67" s="98"/>
      <c r="D67" s="108"/>
    </row>
    <row r="68" spans="1:4" ht="16.5" thickBot="1" x14ac:dyDescent="0.3">
      <c r="A68" s="104" t="s">
        <v>288</v>
      </c>
      <c r="B68" s="20">
        <f>19752.34*1.04</f>
        <v>20542.4336</v>
      </c>
      <c r="C68" s="89"/>
      <c r="D68" s="93"/>
    </row>
    <row r="69" spans="1:4" ht="15.75" hidden="1" x14ac:dyDescent="0.25">
      <c r="A69" s="104" t="s">
        <v>289</v>
      </c>
      <c r="B69" s="20">
        <v>0</v>
      </c>
      <c r="C69" s="98"/>
      <c r="D69" s="108"/>
    </row>
    <row r="70" spans="1:4" ht="16.5" thickBot="1" x14ac:dyDescent="0.3">
      <c r="A70" s="109" t="s">
        <v>290</v>
      </c>
      <c r="B70" s="20">
        <f>[4]тарифы!D164*B13</f>
        <v>1242.04509465669</v>
      </c>
      <c r="C70" s="93"/>
      <c r="D70" s="108"/>
    </row>
    <row r="71" spans="1:4" ht="15.75" x14ac:dyDescent="0.25">
      <c r="A71" s="109" t="s">
        <v>291</v>
      </c>
      <c r="B71" s="20">
        <f>[4]тарифы!D165*B15</f>
        <v>6432.7586235024064</v>
      </c>
      <c r="C71" s="117"/>
      <c r="D71" s="93"/>
    </row>
    <row r="72" spans="1:4" ht="15.75" x14ac:dyDescent="0.25">
      <c r="A72" s="109" t="s">
        <v>292</v>
      </c>
      <c r="B72" s="20">
        <f>11506.44*1.04</f>
        <v>11966.697600000001</v>
      </c>
      <c r="C72" s="108"/>
      <c r="D72" s="93"/>
    </row>
    <row r="73" spans="1:4" ht="15.75" x14ac:dyDescent="0.25">
      <c r="A73" s="41" t="s">
        <v>293</v>
      </c>
      <c r="B73" s="20">
        <f>1952*1.04</f>
        <v>2030.0800000000002</v>
      </c>
      <c r="C73" s="108"/>
      <c r="D73" s="93"/>
    </row>
    <row r="74" spans="1:4" ht="15.75" x14ac:dyDescent="0.25">
      <c r="A74" s="109" t="s">
        <v>294</v>
      </c>
      <c r="B74" s="20">
        <f>16485*1.04</f>
        <v>17144.400000000001</v>
      </c>
      <c r="C74" s="108"/>
      <c r="D74" s="93"/>
    </row>
    <row r="75" spans="1:4" ht="47.25" x14ac:dyDescent="0.25">
      <c r="A75" s="118" t="s">
        <v>328</v>
      </c>
      <c r="B75" s="32">
        <f>SUM(B76:B76)</f>
        <v>34232.898954728269</v>
      </c>
      <c r="C75" s="108"/>
      <c r="D75" s="93"/>
    </row>
    <row r="76" spans="1:4" ht="15.75" x14ac:dyDescent="0.25">
      <c r="A76" s="109" t="s">
        <v>296</v>
      </c>
      <c r="B76" s="20">
        <f>[4]ОЭР!D51</f>
        <v>34232.898954728269</v>
      </c>
      <c r="C76" s="108"/>
      <c r="D76" s="93"/>
    </row>
    <row r="77" spans="1:4" s="79" customFormat="1" ht="15.75" x14ac:dyDescent="0.25">
      <c r="A77" s="116" t="s">
        <v>297</v>
      </c>
      <c r="B77" s="32">
        <f>SUM(B78:B81)</f>
        <v>29997.668119797017</v>
      </c>
      <c r="C77" s="108"/>
      <c r="D77" s="93"/>
    </row>
    <row r="78" spans="1:4" ht="32.25" thickBot="1" x14ac:dyDescent="0.3">
      <c r="A78" s="119" t="s">
        <v>329</v>
      </c>
      <c r="B78" s="20">
        <f>[4]тарифы!D170*B15</f>
        <v>24276.13446439636</v>
      </c>
      <c r="C78" s="96"/>
      <c r="D78" s="93"/>
    </row>
    <row r="79" spans="1:4" ht="16.5" hidden="1" thickBot="1" x14ac:dyDescent="0.3">
      <c r="A79" s="51" t="s">
        <v>299</v>
      </c>
      <c r="B79" s="20">
        <f>(B26/1.2)*30%</f>
        <v>0</v>
      </c>
      <c r="C79" s="98"/>
      <c r="D79" s="108"/>
    </row>
    <row r="80" spans="1:4" ht="15.75" x14ac:dyDescent="0.25">
      <c r="A80" s="120" t="s">
        <v>330</v>
      </c>
      <c r="B80" s="20">
        <f>1864.75+1645.63</f>
        <v>3510.38</v>
      </c>
      <c r="C80" s="117"/>
      <c r="D80" s="93"/>
    </row>
    <row r="81" spans="1:4" ht="15.75" x14ac:dyDescent="0.25">
      <c r="A81" s="120" t="s">
        <v>331</v>
      </c>
      <c r="B81" s="20">
        <f>[4]тарифы!D173*B13</f>
        <v>2211.1536554006566</v>
      </c>
      <c r="C81" s="108"/>
      <c r="D81" s="93"/>
    </row>
    <row r="82" spans="1:4" ht="15.75" x14ac:dyDescent="0.25">
      <c r="A82" s="121" t="s">
        <v>302</v>
      </c>
      <c r="B82" s="25">
        <f>B32+B42+B46+B66+B75+B77</f>
        <v>244652.75145701916</v>
      </c>
      <c r="C82" s="108"/>
      <c r="D82" s="93"/>
    </row>
    <row r="83" spans="1:4" ht="15.75" x14ac:dyDescent="0.25">
      <c r="A83" s="122" t="s">
        <v>303</v>
      </c>
      <c r="B83" s="20">
        <f>B82*0.03</f>
        <v>7339.5825437105741</v>
      </c>
      <c r="C83" s="108"/>
      <c r="D83" s="93"/>
    </row>
    <row r="84" spans="1:4" s="103" customFormat="1" ht="15.75" x14ac:dyDescent="0.25">
      <c r="A84" s="123" t="s">
        <v>304</v>
      </c>
      <c r="B84" s="32">
        <f>B82+B83</f>
        <v>251992.33400072972</v>
      </c>
      <c r="C84" s="108"/>
      <c r="D84" s="93"/>
    </row>
    <row r="85" spans="1:4" ht="16.5" thickBot="1" x14ac:dyDescent="0.3">
      <c r="A85" s="124" t="s">
        <v>305</v>
      </c>
      <c r="B85" s="57">
        <f>B84*0.2</f>
        <v>50398.46680014595</v>
      </c>
      <c r="C85" s="108"/>
      <c r="D85" s="93"/>
    </row>
    <row r="86" spans="1:4" s="79" customFormat="1" ht="16.5" thickBot="1" x14ac:dyDescent="0.3">
      <c r="A86" s="125" t="s">
        <v>306</v>
      </c>
      <c r="B86" s="59">
        <f>B84+B85</f>
        <v>302390.80080087564</v>
      </c>
      <c r="C86" s="89"/>
      <c r="D86" s="126"/>
    </row>
    <row r="87" spans="1:4" s="79" customFormat="1" ht="16.5" thickBot="1" x14ac:dyDescent="0.3">
      <c r="A87" s="127" t="s">
        <v>307</v>
      </c>
      <c r="B87" s="296">
        <f>B10+B24+B26+B28+B29-B86</f>
        <v>68854.559199124342</v>
      </c>
      <c r="C87" s="128"/>
      <c r="D87" s="129"/>
    </row>
    <row r="88" spans="1:4" s="79" customFormat="1" ht="16.5" thickBot="1" x14ac:dyDescent="0.3">
      <c r="A88" s="130" t="s">
        <v>308</v>
      </c>
      <c r="B88" s="59">
        <f>B10+B25+B27+B28+B29-B86</f>
        <v>58598.909199124319</v>
      </c>
      <c r="C88" s="131"/>
      <c r="D88" s="129"/>
    </row>
    <row r="89" spans="1:4" s="79" customFormat="1" ht="16.5" hidden="1" thickBot="1" x14ac:dyDescent="0.3">
      <c r="A89" s="132" t="s">
        <v>309</v>
      </c>
      <c r="B89" s="59">
        <f>B11+B24-B25</f>
        <v>10255.649999999994</v>
      </c>
      <c r="C89" s="129"/>
      <c r="D89" s="129"/>
    </row>
    <row r="90" spans="1:4" s="79" customFormat="1" ht="15.75" x14ac:dyDescent="0.25">
      <c r="A90" s="133"/>
      <c r="B90" s="68"/>
      <c r="C90" s="129"/>
      <c r="D90" s="129"/>
    </row>
    <row r="91" spans="1:4" ht="15.75" x14ac:dyDescent="0.25">
      <c r="A91" s="134"/>
      <c r="B91" s="70"/>
      <c r="C91" s="77"/>
      <c r="D91" s="77"/>
    </row>
    <row r="92" spans="1:4" ht="15.75" x14ac:dyDescent="0.25">
      <c r="A92" s="323" t="s">
        <v>332</v>
      </c>
      <c r="B92" s="339"/>
      <c r="C92" s="77"/>
      <c r="D92" s="77"/>
    </row>
    <row r="93" spans="1:4" ht="15.75" x14ac:dyDescent="0.25">
      <c r="A93" s="134"/>
      <c r="B93" s="70"/>
      <c r="C93" s="77"/>
      <c r="D93" s="77"/>
    </row>
    <row r="94" spans="1:4" ht="15.75" hidden="1" x14ac:dyDescent="0.25">
      <c r="A94" s="324" t="s">
        <v>333</v>
      </c>
      <c r="B94" s="324"/>
      <c r="C94" s="135"/>
      <c r="D94" s="77"/>
    </row>
    <row r="95" spans="1:4" ht="15.75" x14ac:dyDescent="0.25">
      <c r="A95" s="77"/>
      <c r="B95" s="70"/>
      <c r="C95" s="77"/>
      <c r="D95" s="77"/>
    </row>
  </sheetData>
  <autoFilter ref="A31:G89" xr:uid="{00000000-0009-0000-0000-000014000000}">
    <filterColumn colId="1">
      <filters>
        <filter val="1 260,27"/>
        <filter val="1 341,88"/>
        <filter val="1 518,72"/>
        <filter val="1 907,48"/>
        <filter val="11 220,12"/>
        <filter val="11 336,60"/>
        <filter val="14 688,00"/>
        <filter val="15 595,51"/>
        <filter val="16 246,04"/>
        <filter val="17 482,90"/>
        <filter val="174 923,41"/>
        <filter val="180 171,11"/>
        <filter val="19 120,53"/>
        <filter val="19 752,34"/>
        <filter val="2 006,30"/>
        <filter val="2 890,34"/>
        <filter val="216 205,33"/>
        <filter val="23 811,61"/>
        <filter val="3 150,41"/>
        <filter val="3 696,89"/>
        <filter val="36 034,22"/>
        <filter val="389,05"/>
        <filter val="4 171,04"/>
        <filter val="40 687,05"/>
        <filter val="5 247,70"/>
        <filter val="54 155,16"/>
        <filter val="56 582,18"/>
        <filter val="57 219,14"/>
        <filter val="6 844,31"/>
        <filter val="81 030,75"/>
        <filter val="9 166,67"/>
        <filter val="908,10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70866141732283472" right="0.70866141732283472" top="0.74803149606299213" bottom="0.74803149606299213" header="0.31496062992125984" footer="0.31496062992125984"/>
  <pageSetup paperSize="9" scale="78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filterMode="1">
    <pageSetUpPr fitToPage="1"/>
  </sheetPr>
  <dimension ref="A1:G90"/>
  <sheetViews>
    <sheetView view="pageBreakPreview" topLeftCell="A39" zoomScale="80" zoomScaleNormal="100" zoomScaleSheetLayoutView="80" workbookViewId="0">
      <selection activeCell="B73" sqref="B73"/>
    </sheetView>
  </sheetViews>
  <sheetFormatPr defaultRowHeight="12.75" x14ac:dyDescent="0.2"/>
  <cols>
    <col min="1" max="1" width="91.5703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13" t="s">
        <v>224</v>
      </c>
      <c r="B1" s="314"/>
      <c r="C1" s="3"/>
      <c r="D1" s="3"/>
    </row>
    <row r="2" spans="1:4" ht="16.5" x14ac:dyDescent="0.25">
      <c r="A2" s="315" t="s">
        <v>225</v>
      </c>
      <c r="B2" s="316"/>
      <c r="C2" s="3"/>
      <c r="D2" s="3"/>
    </row>
    <row r="3" spans="1:4" ht="16.5" x14ac:dyDescent="0.25">
      <c r="A3" s="315" t="s">
        <v>226</v>
      </c>
      <c r="B3" s="316"/>
      <c r="C3" s="3"/>
      <c r="D3" s="3"/>
    </row>
    <row r="4" spans="1:4" ht="15.75" x14ac:dyDescent="0.25">
      <c r="A4" s="4" t="s">
        <v>516</v>
      </c>
      <c r="B4" s="5"/>
      <c r="C4" s="3"/>
      <c r="D4" s="3"/>
    </row>
    <row r="5" spans="1:4" ht="15.75" x14ac:dyDescent="0.25">
      <c r="A5" s="4" t="s">
        <v>44</v>
      </c>
      <c r="B5" s="6"/>
      <c r="C5" s="3"/>
      <c r="D5" s="3"/>
    </row>
    <row r="6" spans="1:4" ht="5.25" customHeight="1" x14ac:dyDescent="0.25">
      <c r="A6" s="4"/>
      <c r="B6" s="7"/>
      <c r="C6" s="8"/>
      <c r="D6" s="3"/>
    </row>
    <row r="7" spans="1:4" ht="16.5" thickBot="1" x14ac:dyDescent="0.3">
      <c r="A7" s="9"/>
      <c r="B7" s="7"/>
      <c r="C7" s="8"/>
      <c r="D7" s="3"/>
    </row>
    <row r="8" spans="1:4" ht="15.75" customHeight="1" x14ac:dyDescent="0.2">
      <c r="A8" s="317" t="s">
        <v>227</v>
      </c>
      <c r="B8" s="319" t="s">
        <v>228</v>
      </c>
      <c r="C8" s="307" t="s">
        <v>229</v>
      </c>
      <c r="D8" s="307" t="s">
        <v>230</v>
      </c>
    </row>
    <row r="9" spans="1:4" ht="28.5" customHeight="1" thickBot="1" x14ac:dyDescent="0.25">
      <c r="A9" s="318"/>
      <c r="B9" s="320"/>
      <c r="C9" s="308"/>
      <c r="D9" s="308"/>
    </row>
    <row r="10" spans="1:4" ht="16.5" thickBot="1" x14ac:dyDescent="0.25">
      <c r="A10" s="10" t="s">
        <v>231</v>
      </c>
      <c r="B10" s="301">
        <f>VLOOKUP(A5,мкд!S:T,2,FALSE)</f>
        <v>-1116645.2</v>
      </c>
      <c r="C10" s="12"/>
      <c r="D10" s="12"/>
    </row>
    <row r="11" spans="1:4" ht="16.5" hidden="1" thickBot="1" x14ac:dyDescent="0.25">
      <c r="A11" s="13" t="s">
        <v>232</v>
      </c>
      <c r="B11" s="11"/>
      <c r="C11" s="14"/>
      <c r="D11" s="14"/>
    </row>
    <row r="12" spans="1:4" ht="15.75" x14ac:dyDescent="0.25">
      <c r="A12" s="15" t="s">
        <v>233</v>
      </c>
      <c r="B12" s="16"/>
      <c r="C12" s="17" t="s">
        <v>234</v>
      </c>
      <c r="D12" s="18" t="s">
        <v>234</v>
      </c>
    </row>
    <row r="13" spans="1:4" ht="15.75" hidden="1" x14ac:dyDescent="0.25">
      <c r="A13" s="19" t="s">
        <v>235</v>
      </c>
      <c r="B13" s="20">
        <v>3381.9</v>
      </c>
      <c r="C13" s="21" t="s">
        <v>234</v>
      </c>
      <c r="D13" s="22" t="s">
        <v>234</v>
      </c>
    </row>
    <row r="14" spans="1:4" ht="15.75" hidden="1" x14ac:dyDescent="0.25">
      <c r="A14" s="19" t="s">
        <v>236</v>
      </c>
      <c r="B14" s="20">
        <v>0</v>
      </c>
      <c r="C14" s="21"/>
      <c r="D14" s="22"/>
    </row>
    <row r="15" spans="1:4" ht="15.75" x14ac:dyDescent="0.25">
      <c r="A15" s="19" t="s">
        <v>237</v>
      </c>
      <c r="B15" s="20">
        <f>B13+B14</f>
        <v>3381.9</v>
      </c>
      <c r="C15" s="21"/>
      <c r="D15" s="22"/>
    </row>
    <row r="16" spans="1:4" ht="15.75" x14ac:dyDescent="0.25">
      <c r="A16" s="19" t="s">
        <v>238</v>
      </c>
      <c r="B16" s="20">
        <f>1441.2+3503/3</f>
        <v>2608.8666666666668</v>
      </c>
      <c r="C16" s="21" t="s">
        <v>234</v>
      </c>
      <c r="D16" s="22" t="s">
        <v>234</v>
      </c>
    </row>
    <row r="17" spans="1:7" ht="15.75" hidden="1" x14ac:dyDescent="0.25">
      <c r="A17" s="19" t="s">
        <v>239</v>
      </c>
      <c r="B17" s="20">
        <v>0</v>
      </c>
      <c r="C17" s="21" t="s">
        <v>234</v>
      </c>
      <c r="D17" s="22" t="s">
        <v>234</v>
      </c>
      <c r="E17" s="3"/>
      <c r="F17" s="3"/>
      <c r="G17" s="3"/>
    </row>
    <row r="18" spans="1:7" ht="15.75" hidden="1" x14ac:dyDescent="0.25">
      <c r="A18" s="19" t="s">
        <v>240</v>
      </c>
      <c r="B18" s="20">
        <v>936.5</v>
      </c>
      <c r="C18" s="21" t="s">
        <v>234</v>
      </c>
      <c r="D18" s="22" t="s">
        <v>234</v>
      </c>
      <c r="E18" s="3"/>
      <c r="F18" s="3"/>
      <c r="G18" s="3"/>
    </row>
    <row r="19" spans="1:7" ht="15.75" hidden="1" x14ac:dyDescent="0.25">
      <c r="A19" s="19" t="s">
        <v>241</v>
      </c>
      <c r="B19" s="20">
        <v>0</v>
      </c>
      <c r="C19" s="21" t="s">
        <v>234</v>
      </c>
      <c r="D19" s="22" t="s">
        <v>234</v>
      </c>
      <c r="E19" s="3"/>
      <c r="F19" s="3"/>
      <c r="G19" s="3"/>
    </row>
    <row r="20" spans="1:7" ht="15.75" hidden="1" x14ac:dyDescent="0.25">
      <c r="A20" s="19" t="s">
        <v>242</v>
      </c>
      <c r="B20" s="20">
        <v>900</v>
      </c>
      <c r="C20" s="21"/>
      <c r="D20" s="22"/>
      <c r="E20" s="3"/>
      <c r="F20" s="3"/>
      <c r="G20" s="3"/>
    </row>
    <row r="21" spans="1:7" ht="15.75" hidden="1" x14ac:dyDescent="0.25">
      <c r="A21" s="19" t="s">
        <v>243</v>
      </c>
      <c r="B21" s="20">
        <v>0</v>
      </c>
      <c r="C21" s="21" t="s">
        <v>234</v>
      </c>
      <c r="D21" s="22" t="s">
        <v>234</v>
      </c>
      <c r="E21" s="3"/>
      <c r="F21" s="3"/>
      <c r="G21" s="3"/>
    </row>
    <row r="22" spans="1:7" ht="15.75" hidden="1" x14ac:dyDescent="0.25">
      <c r="A22" s="19" t="s">
        <v>244</v>
      </c>
      <c r="B22" s="20">
        <v>200</v>
      </c>
      <c r="C22" s="21"/>
      <c r="D22" s="22"/>
      <c r="E22" s="3"/>
      <c r="F22" s="3"/>
      <c r="G22" s="3"/>
    </row>
    <row r="23" spans="1:7" ht="15.75" x14ac:dyDescent="0.25">
      <c r="A23" s="19"/>
      <c r="B23" s="20"/>
      <c r="C23" s="21"/>
      <c r="D23" s="22"/>
      <c r="E23" s="3">
        <v>12</v>
      </c>
      <c r="F23" s="3"/>
      <c r="G23" s="3"/>
    </row>
    <row r="24" spans="1:7" ht="15.75" x14ac:dyDescent="0.25">
      <c r="A24" s="24" t="s">
        <v>245</v>
      </c>
      <c r="B24" s="25">
        <f>VLOOKUP(A5,[1]Лист1!M$1:N$65536,2,FALSE)</f>
        <v>560355.57999999996</v>
      </c>
      <c r="C24" s="21"/>
      <c r="D24" s="22"/>
      <c r="E24" s="26">
        <v>13.54</v>
      </c>
      <c r="F24" s="3"/>
      <c r="G24" s="3"/>
    </row>
    <row r="25" spans="1:7" ht="15.75" x14ac:dyDescent="0.25">
      <c r="A25" s="24" t="s">
        <v>246</v>
      </c>
      <c r="B25" s="25">
        <f>VLOOKUP(A5,[1]Лист1!M$1:O$65536,3,FALSE)</f>
        <v>605295.39999999991</v>
      </c>
      <c r="C25" s="21"/>
      <c r="D25" s="22"/>
      <c r="E25" s="3"/>
      <c r="F25" s="3"/>
      <c r="G25" s="3"/>
    </row>
    <row r="26" spans="1:7" ht="15.75" hidden="1" x14ac:dyDescent="0.25">
      <c r="A26" s="24" t="s">
        <v>247</v>
      </c>
      <c r="B26" s="28"/>
      <c r="C26" s="21"/>
      <c r="D26" s="22"/>
      <c r="E26" s="3"/>
      <c r="F26" s="3"/>
      <c r="G26" s="3"/>
    </row>
    <row r="27" spans="1:7" ht="15.75" hidden="1" x14ac:dyDescent="0.25">
      <c r="A27" s="24" t="s">
        <v>248</v>
      </c>
      <c r="B27" s="28">
        <f>B26</f>
        <v>0</v>
      </c>
      <c r="C27" s="21"/>
      <c r="D27" s="22"/>
      <c r="E27" s="3"/>
      <c r="F27" s="3"/>
      <c r="G27" s="3"/>
    </row>
    <row r="28" spans="1:7" ht="15.75" hidden="1" x14ac:dyDescent="0.25">
      <c r="A28" s="24" t="s">
        <v>249</v>
      </c>
      <c r="B28" s="25"/>
      <c r="C28" s="21"/>
      <c r="D28" s="22"/>
      <c r="E28" s="3"/>
      <c r="F28" s="3"/>
      <c r="G28" s="3"/>
    </row>
    <row r="29" spans="1:7" ht="15.75" hidden="1" x14ac:dyDescent="0.25">
      <c r="A29" s="24" t="s">
        <v>250</v>
      </c>
      <c r="B29" s="23"/>
      <c r="C29" s="21"/>
      <c r="D29" s="22"/>
      <c r="E29" s="3"/>
      <c r="F29" s="3"/>
      <c r="G29" s="3"/>
    </row>
    <row r="30" spans="1:7" ht="15.75" x14ac:dyDescent="0.25">
      <c r="A30" s="29"/>
      <c r="B30" s="20"/>
      <c r="C30" s="21"/>
      <c r="D30" s="22"/>
      <c r="E30" s="3"/>
      <c r="F30" s="3"/>
      <c r="G30" s="3"/>
    </row>
    <row r="31" spans="1:7" ht="15.75" x14ac:dyDescent="0.25">
      <c r="A31" s="30" t="s">
        <v>251</v>
      </c>
      <c r="B31" s="20"/>
      <c r="C31" s="21"/>
      <c r="D31" s="22"/>
      <c r="E31" s="3"/>
      <c r="F31" s="3"/>
      <c r="G31" s="3"/>
    </row>
    <row r="32" spans="1:7" s="34" customFormat="1" ht="31.5" x14ac:dyDescent="0.25">
      <c r="A32" s="31" t="s">
        <v>252</v>
      </c>
      <c r="B32" s="32">
        <f>SUM(B33:B41)</f>
        <v>132300.13</v>
      </c>
      <c r="C32" s="21"/>
      <c r="D32" s="22"/>
      <c r="E32" s="33">
        <f>(B24-B78)/1.2/1.03</f>
        <v>-272665.0994588997</v>
      </c>
      <c r="F32" s="33" t="e">
        <f>(#REF!-#REF!)/1.2/1.03</f>
        <v>#REF!</v>
      </c>
      <c r="G32" s="33" t="e">
        <f>(#REF!-#REF!)/1.2/1.03</f>
        <v>#REF!</v>
      </c>
    </row>
    <row r="33" spans="1:7" ht="15.75" x14ac:dyDescent="0.25">
      <c r="A33" s="35" t="s">
        <v>253</v>
      </c>
      <c r="B33" s="20">
        <f>44000*1.12</f>
        <v>49280.000000000007</v>
      </c>
      <c r="C33" s="21"/>
      <c r="D33" s="22">
        <v>41127.42</v>
      </c>
      <c r="E33" s="3"/>
      <c r="F33" s="3"/>
      <c r="G33" s="3"/>
    </row>
    <row r="34" spans="1:7" ht="15.75" x14ac:dyDescent="0.25">
      <c r="A34" s="138" t="s">
        <v>367</v>
      </c>
      <c r="B34" s="202">
        <v>18668.88</v>
      </c>
      <c r="C34" s="21"/>
      <c r="D34" s="22">
        <v>0</v>
      </c>
      <c r="E34" s="3"/>
      <c r="F34" s="3"/>
      <c r="G34" s="3"/>
    </row>
    <row r="35" spans="1:7" ht="15.75" x14ac:dyDescent="0.25">
      <c r="A35" s="106" t="s">
        <v>368</v>
      </c>
      <c r="B35" s="203">
        <v>26643.8</v>
      </c>
      <c r="C35" s="21"/>
      <c r="D35" s="22">
        <v>0</v>
      </c>
      <c r="E35" s="3"/>
      <c r="F35" s="3"/>
      <c r="G35" s="3"/>
    </row>
    <row r="36" spans="1:7" ht="15.75" x14ac:dyDescent="0.25">
      <c r="A36" s="138" t="s">
        <v>369</v>
      </c>
      <c r="B36" s="204">
        <v>27130.720000000001</v>
      </c>
      <c r="C36" s="21" t="s">
        <v>234</v>
      </c>
      <c r="D36" s="22">
        <v>0</v>
      </c>
      <c r="E36" s="3"/>
      <c r="F36" s="3"/>
      <c r="G36" s="3"/>
    </row>
    <row r="37" spans="1:7" ht="15.75" x14ac:dyDescent="0.25">
      <c r="A37" s="36" t="s">
        <v>370</v>
      </c>
      <c r="B37" s="37">
        <v>170.79</v>
      </c>
      <c r="C37" s="21"/>
      <c r="D37" s="22">
        <v>0</v>
      </c>
      <c r="E37" s="3"/>
      <c r="F37" s="3"/>
      <c r="G37" s="3"/>
    </row>
    <row r="38" spans="1:7" ht="15.75" x14ac:dyDescent="0.25">
      <c r="A38" s="36" t="s">
        <v>371</v>
      </c>
      <c r="B38" s="37">
        <v>4711.7309476008104</v>
      </c>
      <c r="C38" s="21"/>
      <c r="D38" s="22">
        <v>0</v>
      </c>
      <c r="E38" s="3"/>
      <c r="F38" s="3"/>
      <c r="G38" s="3"/>
    </row>
    <row r="39" spans="1:7" ht="15.75" x14ac:dyDescent="0.25">
      <c r="A39" s="36" t="s">
        <v>372</v>
      </c>
      <c r="B39" s="37">
        <v>5694.2090523991819</v>
      </c>
      <c r="C39" s="21"/>
      <c r="D39" s="22">
        <v>0</v>
      </c>
      <c r="E39" s="3"/>
      <c r="F39" s="3"/>
      <c r="G39" s="3"/>
    </row>
    <row r="40" spans="1:7" ht="15.75" hidden="1" x14ac:dyDescent="0.25">
      <c r="A40" s="35" t="s">
        <v>312</v>
      </c>
      <c r="B40" s="23">
        <v>0</v>
      </c>
      <c r="C40" s="21"/>
      <c r="D40" s="22"/>
      <c r="E40" s="3"/>
      <c r="F40" s="3"/>
      <c r="G40" s="3"/>
    </row>
    <row r="41" spans="1:7" ht="15.75" hidden="1" x14ac:dyDescent="0.25">
      <c r="A41" s="35" t="s">
        <v>313</v>
      </c>
      <c r="B41" s="23">
        <v>0</v>
      </c>
      <c r="C41" s="21"/>
      <c r="D41" s="22"/>
      <c r="E41" s="3"/>
      <c r="F41" s="3"/>
      <c r="G41" s="3"/>
    </row>
    <row r="42" spans="1:7" s="34" customFormat="1" ht="47.25" x14ac:dyDescent="0.25">
      <c r="A42" s="31" t="s">
        <v>261</v>
      </c>
      <c r="B42" s="32">
        <f>SUM(B43:B45)</f>
        <v>20160.000000000004</v>
      </c>
      <c r="C42" s="21"/>
      <c r="D42" s="22"/>
      <c r="E42" s="33"/>
      <c r="F42" s="33"/>
      <c r="G42" s="33"/>
    </row>
    <row r="43" spans="1:7" ht="15.75" hidden="1" x14ac:dyDescent="0.25">
      <c r="A43" s="35" t="s">
        <v>262</v>
      </c>
      <c r="B43" s="20"/>
      <c r="C43" s="39"/>
      <c r="D43" s="40"/>
      <c r="E43" s="3"/>
      <c r="F43" s="3"/>
      <c r="G43" s="3"/>
    </row>
    <row r="44" spans="1:7" ht="15.75" hidden="1" x14ac:dyDescent="0.25">
      <c r="A44" s="35" t="s">
        <v>263</v>
      </c>
      <c r="B44" s="20"/>
      <c r="C44" s="39"/>
      <c r="D44" s="40"/>
      <c r="E44" s="3"/>
      <c r="F44" s="3"/>
      <c r="G44" s="3"/>
    </row>
    <row r="45" spans="1:7" ht="15.75" x14ac:dyDescent="0.25">
      <c r="A45" s="41" t="s">
        <v>264</v>
      </c>
      <c r="B45" s="20">
        <f>18000*1.12</f>
        <v>20160.000000000004</v>
      </c>
      <c r="C45" s="39"/>
      <c r="D45" s="40"/>
      <c r="E45" s="3"/>
      <c r="F45" s="3"/>
      <c r="G45" s="3"/>
    </row>
    <row r="46" spans="1:7" s="8" customFormat="1" ht="15.75" x14ac:dyDescent="0.25">
      <c r="A46" s="31" t="s">
        <v>265</v>
      </c>
      <c r="B46" s="32">
        <f>SUM(B47:B57)</f>
        <v>54619.33</v>
      </c>
      <c r="C46" s="21"/>
      <c r="D46" s="22"/>
    </row>
    <row r="47" spans="1:7" ht="15.75" x14ac:dyDescent="0.25">
      <c r="A47" s="35" t="s">
        <v>266</v>
      </c>
      <c r="B47" s="20">
        <v>3933.36</v>
      </c>
      <c r="C47" s="21"/>
      <c r="D47" s="22"/>
      <c r="E47" s="3" t="s">
        <v>267</v>
      </c>
      <c r="F47" s="3"/>
      <c r="G47" s="3"/>
    </row>
    <row r="48" spans="1:7" ht="15.75" x14ac:dyDescent="0.25">
      <c r="A48" s="35" t="s">
        <v>268</v>
      </c>
      <c r="B48" s="23">
        <v>4776.18</v>
      </c>
      <c r="C48" s="21"/>
      <c r="D48" s="22"/>
      <c r="E48" s="3" t="s">
        <v>269</v>
      </c>
      <c r="F48" s="3"/>
      <c r="G48" s="3"/>
    </row>
    <row r="49" spans="1:5" ht="15.75" hidden="1" x14ac:dyDescent="0.25">
      <c r="A49" s="42" t="s">
        <v>270</v>
      </c>
      <c r="B49" s="22">
        <v>0</v>
      </c>
      <c r="C49" s="21"/>
      <c r="D49" s="22"/>
      <c r="E49" s="3"/>
    </row>
    <row r="50" spans="1:5" ht="15.75" hidden="1" x14ac:dyDescent="0.25">
      <c r="A50" s="42" t="s">
        <v>348</v>
      </c>
      <c r="B50" s="43"/>
      <c r="C50" s="21"/>
      <c r="D50" s="22"/>
      <c r="E50" s="3"/>
    </row>
    <row r="51" spans="1:5" ht="17.25" customHeight="1" x14ac:dyDescent="0.25">
      <c r="A51" s="42" t="s">
        <v>282</v>
      </c>
      <c r="B51" s="43">
        <v>549.6</v>
      </c>
      <c r="C51" s="21"/>
      <c r="D51" s="22"/>
      <c r="E51" s="3"/>
    </row>
    <row r="52" spans="1:5" ht="17.25" customHeight="1" x14ac:dyDescent="0.25">
      <c r="A52" s="42" t="s">
        <v>492</v>
      </c>
      <c r="B52" s="43">
        <v>2585.42</v>
      </c>
      <c r="C52" s="21"/>
      <c r="D52" s="22"/>
      <c r="E52" s="3"/>
    </row>
    <row r="53" spans="1:5" ht="15.75" customHeight="1" x14ac:dyDescent="0.25">
      <c r="A53" s="42" t="s">
        <v>542</v>
      </c>
      <c r="B53" s="20">
        <v>4200</v>
      </c>
      <c r="C53" s="21">
        <v>0</v>
      </c>
      <c r="D53" s="22">
        <v>522.99</v>
      </c>
      <c r="E53" s="3"/>
    </row>
    <row r="54" spans="1:5" ht="15.75" x14ac:dyDescent="0.25">
      <c r="A54" s="42" t="s">
        <v>275</v>
      </c>
      <c r="B54" s="20">
        <v>8133.61</v>
      </c>
      <c r="C54" s="21">
        <v>1</v>
      </c>
      <c r="D54" s="44">
        <v>700.55</v>
      </c>
      <c r="E54" s="3"/>
    </row>
    <row r="55" spans="1:5" ht="15.75" x14ac:dyDescent="0.25">
      <c r="A55" s="35" t="s">
        <v>327</v>
      </c>
      <c r="B55" s="45">
        <v>16881.37</v>
      </c>
      <c r="C55" s="46">
        <v>1</v>
      </c>
      <c r="D55" s="22">
        <v>0</v>
      </c>
      <c r="E55" s="3"/>
    </row>
    <row r="56" spans="1:5" ht="15.75" x14ac:dyDescent="0.25">
      <c r="A56" s="35" t="s">
        <v>540</v>
      </c>
      <c r="B56" s="47">
        <v>13559.79</v>
      </c>
      <c r="C56" s="46">
        <v>70</v>
      </c>
      <c r="D56" s="22">
        <v>2</v>
      </c>
      <c r="E56" s="3">
        <v>0</v>
      </c>
    </row>
    <row r="57" spans="1:5" ht="15.75" hidden="1" x14ac:dyDescent="0.25">
      <c r="A57" s="35" t="s">
        <v>285</v>
      </c>
      <c r="B57" s="47">
        <v>0</v>
      </c>
      <c r="C57" s="48"/>
      <c r="D57" s="40">
        <v>0</v>
      </c>
      <c r="E57" s="3"/>
    </row>
    <row r="58" spans="1:5" s="8" customFormat="1" ht="15.75" x14ac:dyDescent="0.25">
      <c r="A58" s="49" t="s">
        <v>286</v>
      </c>
      <c r="B58" s="32">
        <f>SUM(B59:B66)</f>
        <v>225851.4816</v>
      </c>
      <c r="C58" s="39"/>
      <c r="D58" s="40"/>
    </row>
    <row r="59" spans="1:5" ht="15.75" hidden="1" x14ac:dyDescent="0.25">
      <c r="A59" s="35" t="s">
        <v>287</v>
      </c>
      <c r="B59" s="23">
        <v>0</v>
      </c>
      <c r="C59" s="39"/>
      <c r="D59" s="40"/>
      <c r="E59" s="3"/>
    </row>
    <row r="60" spans="1:5" ht="15.75" x14ac:dyDescent="0.25">
      <c r="A60" s="35" t="s">
        <v>288</v>
      </c>
      <c r="B60" s="20">
        <f>100479*1.04*1.12</f>
        <v>117037.93920000001</v>
      </c>
      <c r="C60" s="39"/>
      <c r="D60" s="40"/>
      <c r="E60" s="3"/>
    </row>
    <row r="61" spans="1:5" ht="15.75" hidden="1" x14ac:dyDescent="0.25">
      <c r="A61" s="35" t="s">
        <v>289</v>
      </c>
      <c r="B61" s="23">
        <v>0</v>
      </c>
      <c r="C61" s="39"/>
      <c r="D61" s="40"/>
      <c r="E61" s="3"/>
    </row>
    <row r="62" spans="1:5" ht="15.75" x14ac:dyDescent="0.25">
      <c r="A62" s="41" t="s">
        <v>290</v>
      </c>
      <c r="B62" s="20">
        <v>4112</v>
      </c>
      <c r="C62" s="39"/>
      <c r="D62" s="40"/>
      <c r="E62" s="3"/>
    </row>
    <row r="63" spans="1:5" ht="15.75" x14ac:dyDescent="0.25">
      <c r="A63" s="41" t="s">
        <v>291</v>
      </c>
      <c r="B63" s="20" t="s">
        <v>373</v>
      </c>
      <c r="C63" s="39"/>
      <c r="D63" s="40"/>
      <c r="E63" s="3"/>
    </row>
    <row r="64" spans="1:5" ht="15.75" x14ac:dyDescent="0.25">
      <c r="A64" s="41" t="s">
        <v>292</v>
      </c>
      <c r="B64" s="20">
        <f>34540*1.04*1.12</f>
        <v>40232.192000000003</v>
      </c>
      <c r="C64" s="39"/>
      <c r="D64" s="40"/>
      <c r="E64" s="3"/>
    </row>
    <row r="65" spans="1:4" ht="15.75" x14ac:dyDescent="0.25">
      <c r="A65" s="41" t="s">
        <v>293</v>
      </c>
      <c r="B65" s="20">
        <f>5860*1.04*1.12</f>
        <v>6825.728000000001</v>
      </c>
      <c r="C65" s="39"/>
      <c r="D65" s="40"/>
    </row>
    <row r="66" spans="1:4" ht="15.75" x14ac:dyDescent="0.25">
      <c r="A66" s="41" t="s">
        <v>294</v>
      </c>
      <c r="B66" s="20">
        <f>49488*1.04*1.12</f>
        <v>57643.622400000007</v>
      </c>
      <c r="C66" s="39"/>
      <c r="D66" s="40"/>
    </row>
    <row r="67" spans="1:4" ht="63" x14ac:dyDescent="0.25">
      <c r="A67" s="50" t="s">
        <v>295</v>
      </c>
      <c r="B67" s="32">
        <f>SUM(B68:B68)</f>
        <v>120541.65760000002</v>
      </c>
      <c r="C67" s="39"/>
      <c r="D67" s="40"/>
    </row>
    <row r="68" spans="1:4" ht="15.75" x14ac:dyDescent="0.25">
      <c r="A68" s="41" t="s">
        <v>296</v>
      </c>
      <c r="B68" s="20">
        <f>103487*1.04*1.12</f>
        <v>120541.65760000002</v>
      </c>
      <c r="C68" s="39"/>
      <c r="D68" s="40"/>
    </row>
    <row r="69" spans="1:4" s="8" customFormat="1" ht="15.75" x14ac:dyDescent="0.25">
      <c r="A69" s="49" t="s">
        <v>297</v>
      </c>
      <c r="B69" s="32">
        <f>SUM(B70:B73)</f>
        <v>172554.62000000002</v>
      </c>
      <c r="C69" s="39"/>
      <c r="D69" s="40"/>
    </row>
    <row r="70" spans="1:4" ht="15.75" x14ac:dyDescent="0.25">
      <c r="A70" s="51" t="s">
        <v>298</v>
      </c>
      <c r="B70" s="20">
        <f>72000*1.12</f>
        <v>80640.000000000015</v>
      </c>
      <c r="C70" s="39"/>
      <c r="D70" s="40"/>
    </row>
    <row r="71" spans="1:4" ht="15.75" hidden="1" x14ac:dyDescent="0.25">
      <c r="A71" s="51" t="s">
        <v>299</v>
      </c>
      <c r="B71" s="23">
        <f>(B26/1.2)*30%</f>
        <v>0</v>
      </c>
      <c r="C71" s="39"/>
      <c r="D71" s="40"/>
    </row>
    <row r="72" spans="1:4" ht="15.75" x14ac:dyDescent="0.25">
      <c r="A72" s="52" t="s">
        <v>300</v>
      </c>
      <c r="B72" s="20">
        <f>9348.36+8004.26</f>
        <v>17352.620000000003</v>
      </c>
      <c r="C72" s="39"/>
      <c r="D72" s="40"/>
    </row>
    <row r="73" spans="1:4" ht="15.75" x14ac:dyDescent="0.25">
      <c r="A73" s="52" t="s">
        <v>301</v>
      </c>
      <c r="B73" s="20">
        <v>74562</v>
      </c>
      <c r="C73" s="39"/>
      <c r="D73" s="40"/>
    </row>
    <row r="74" spans="1:4" ht="15.75" x14ac:dyDescent="0.25">
      <c r="A74" s="53" t="s">
        <v>302</v>
      </c>
      <c r="B74" s="25">
        <f>B32+B42+B46+B58+B67+B69</f>
        <v>726027.21920000005</v>
      </c>
      <c r="C74" s="39"/>
      <c r="D74" s="40"/>
    </row>
    <row r="75" spans="1:4" ht="15.75" x14ac:dyDescent="0.25">
      <c r="A75" s="54" t="s">
        <v>303</v>
      </c>
      <c r="B75" s="20">
        <f>B74*0.03</f>
        <v>21780.816576000001</v>
      </c>
      <c r="C75" s="39"/>
      <c r="D75" s="40"/>
    </row>
    <row r="76" spans="1:4" s="34" customFormat="1" ht="15.75" x14ac:dyDescent="0.25">
      <c r="A76" s="55" t="s">
        <v>304</v>
      </c>
      <c r="B76" s="32">
        <f>B74+B75</f>
        <v>747808.035776</v>
      </c>
      <c r="C76" s="39"/>
      <c r="D76" s="40"/>
    </row>
    <row r="77" spans="1:4" ht="16.5" thickBot="1" x14ac:dyDescent="0.3">
      <c r="A77" s="56" t="s">
        <v>305</v>
      </c>
      <c r="B77" s="57">
        <f>B76*0.2</f>
        <v>149561.60715520001</v>
      </c>
      <c r="C77" s="39"/>
      <c r="D77" s="40"/>
    </row>
    <row r="78" spans="1:4" s="8" customFormat="1" ht="16.5" thickBot="1" x14ac:dyDescent="0.3">
      <c r="A78" s="58" t="s">
        <v>306</v>
      </c>
      <c r="B78" s="59">
        <f>B76+B77</f>
        <v>897369.64293119998</v>
      </c>
      <c r="C78" s="60"/>
      <c r="D78" s="61"/>
    </row>
    <row r="79" spans="1:4" s="8" customFormat="1" ht="16.5" thickBot="1" x14ac:dyDescent="0.3">
      <c r="A79" s="62" t="s">
        <v>307</v>
      </c>
      <c r="B79" s="59">
        <f>B10+B24+B26+B28+B29-B78</f>
        <v>-1453659.2629312</v>
      </c>
      <c r="C79" s="63"/>
      <c r="D79" s="63"/>
    </row>
    <row r="80" spans="1:4" s="8" customFormat="1" ht="16.5" thickBot="1" x14ac:dyDescent="0.3">
      <c r="A80" s="64" t="s">
        <v>308</v>
      </c>
      <c r="B80" s="59">
        <f>B10+B25+B27++B28+B29-B78</f>
        <v>-1408719.4429311999</v>
      </c>
      <c r="C80" s="63"/>
      <c r="D80" s="63"/>
    </row>
    <row r="81" spans="1:4" s="8" customFormat="1" ht="16.5" hidden="1" thickBot="1" x14ac:dyDescent="0.3">
      <c r="A81" s="65" t="s">
        <v>309</v>
      </c>
      <c r="B81" s="66">
        <f>B11+B24-B25</f>
        <v>-44939.819999999949</v>
      </c>
      <c r="C81" s="63"/>
      <c r="D81" s="63"/>
    </row>
    <row r="82" spans="1:4" s="8" customFormat="1" ht="15.75" x14ac:dyDescent="0.25">
      <c r="A82" s="67"/>
      <c r="B82" s="68"/>
      <c r="C82" s="63"/>
      <c r="D82" s="63"/>
    </row>
    <row r="83" spans="1:4" ht="15.75" x14ac:dyDescent="0.25">
      <c r="A83" s="69"/>
      <c r="B83" s="70"/>
      <c r="C83" s="3"/>
      <c r="D83" s="3"/>
    </row>
    <row r="84" spans="1:4" ht="15.75" x14ac:dyDescent="0.25">
      <c r="A84" s="309" t="s">
        <v>310</v>
      </c>
      <c r="B84" s="310"/>
      <c r="C84" s="3"/>
      <c r="D84" s="3"/>
    </row>
    <row r="85" spans="1:4" ht="15.75" x14ac:dyDescent="0.25">
      <c r="A85" s="69"/>
      <c r="B85" s="71"/>
      <c r="C85" s="3"/>
      <c r="D85" s="3"/>
    </row>
    <row r="86" spans="1:4" ht="15.75" x14ac:dyDescent="0.25">
      <c r="A86" s="311"/>
      <c r="B86" s="312"/>
      <c r="C86" s="72"/>
      <c r="D86" s="3"/>
    </row>
    <row r="87" spans="1:4" x14ac:dyDescent="0.2">
      <c r="B87" s="298"/>
    </row>
    <row r="89" spans="1:4" ht="15.75" hidden="1" x14ac:dyDescent="0.25">
      <c r="A89" s="3"/>
      <c r="B89" s="70"/>
      <c r="C89" s="3"/>
      <c r="D89" s="3"/>
    </row>
    <row r="90" spans="1:4" ht="15.75" x14ac:dyDescent="0.25">
      <c r="A90" s="3"/>
      <c r="B90" s="70"/>
      <c r="C90" s="3"/>
      <c r="D90" s="3"/>
    </row>
  </sheetData>
  <autoFilter ref="A32:B81" xr:uid="{00000000-0009-0000-0000-000015000000}">
    <filterColumn colId="1">
      <filters>
        <filter val="10 024,63"/>
        <filter val="100 479,44"/>
        <filter val="11 097,57"/>
        <filter val="120 146,06"/>
        <filter val="17 497,00"/>
        <filter val="20 365,57"/>
        <filter val="203 752,03"/>
        <filter val="21 434,79"/>
        <filter val="3 064,60"/>
        <filter val="3 783,16"/>
        <filter val="32 083,33"/>
        <filter val="33 681,27"/>
        <filter val="33 820,68"/>
        <filter val="34 379,66"/>
        <filter val="39 832,13"/>
        <filter val="4 559,00"/>
        <filter val="44 091,37"/>
        <filter val="46 815,59"/>
        <filter val="-478 566,70"/>
        <filter val="49 400,43"/>
        <filter val="5 725,99"/>
        <filter val="-518 398,83"/>
        <filter val="583 233,31"/>
        <filter val="59 310,27"/>
        <filter val="600 730,31"/>
        <filter val="61 262,64"/>
        <filter val="720 876,38"/>
        <filter val="76 180,02"/>
        <filter val="786,68"/>
        <filter val="8 676,39"/>
        <filter val="9 567,87"/>
        <filter val="9 888,05"/>
        <filter val="99 507,24"/>
      </filters>
    </filterColumn>
  </autoFilter>
  <mergeCells count="9">
    <mergeCell ref="D8:D9"/>
    <mergeCell ref="A84:B84"/>
    <mergeCell ref="A86:B86"/>
    <mergeCell ref="A1:B1"/>
    <mergeCell ref="A2:B2"/>
    <mergeCell ref="A3:B3"/>
    <mergeCell ref="A8:A9"/>
    <mergeCell ref="B8:B9"/>
    <mergeCell ref="C8:C9"/>
  </mergeCells>
  <phoneticPr fontId="43" type="noConversion"/>
  <pageMargins left="0.70866141732283472" right="0.70866141732283472" top="0.74803149606299213" bottom="0.74803149606299213" header="0.31496062992125984" footer="0.31496062992125984"/>
  <pageSetup paperSize="9" scale="66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filterMode="1">
    <pageSetUpPr fitToPage="1"/>
  </sheetPr>
  <dimension ref="A1:G93"/>
  <sheetViews>
    <sheetView view="pageBreakPreview" topLeftCell="A33" zoomScale="80" zoomScaleNormal="100" zoomScaleSheetLayoutView="80" workbookViewId="0">
      <selection activeCell="B80" sqref="B80"/>
    </sheetView>
  </sheetViews>
  <sheetFormatPr defaultRowHeight="15.75" x14ac:dyDescent="0.25"/>
  <cols>
    <col min="1" max="1" width="91.5703125" style="3" customWidth="1"/>
    <col min="2" max="2" width="15" style="70" customWidth="1"/>
    <col min="3" max="4" width="13.85546875" style="3" customWidth="1"/>
    <col min="5" max="5" width="14.140625" style="3" customWidth="1"/>
    <col min="6" max="6" width="11.140625" style="3" customWidth="1"/>
    <col min="7" max="7" width="12.42578125" style="3" bestFit="1" customWidth="1"/>
    <col min="8" max="16384" width="9.140625" style="3"/>
  </cols>
  <sheetData>
    <row r="1" spans="1:4" ht="16.5" customHeight="1" x14ac:dyDescent="0.25">
      <c r="A1" s="313" t="s">
        <v>224</v>
      </c>
      <c r="B1" s="314"/>
    </row>
    <row r="2" spans="1:4" ht="16.5" x14ac:dyDescent="0.25">
      <c r="A2" s="315" t="s">
        <v>225</v>
      </c>
      <c r="B2" s="316"/>
    </row>
    <row r="3" spans="1:4" ht="16.5" x14ac:dyDescent="0.25">
      <c r="A3" s="315" t="s">
        <v>226</v>
      </c>
      <c r="B3" s="316"/>
    </row>
    <row r="4" spans="1:4" x14ac:dyDescent="0.25">
      <c r="A4" s="4" t="s">
        <v>516</v>
      </c>
      <c r="B4" s="5"/>
    </row>
    <row r="5" spans="1:4" x14ac:dyDescent="0.25">
      <c r="A5" s="4" t="s">
        <v>59</v>
      </c>
      <c r="B5" s="6"/>
    </row>
    <row r="6" spans="1:4" ht="5.25" customHeight="1" x14ac:dyDescent="0.25">
      <c r="A6" s="4"/>
      <c r="B6" s="7"/>
      <c r="C6" s="8"/>
    </row>
    <row r="7" spans="1:4" ht="16.5" thickBot="1" x14ac:dyDescent="0.3">
      <c r="A7" s="9"/>
      <c r="B7" s="7"/>
      <c r="C7" s="8"/>
    </row>
    <row r="8" spans="1:4" ht="15.75" customHeight="1" x14ac:dyDescent="0.25">
      <c r="A8" s="317" t="s">
        <v>227</v>
      </c>
      <c r="B8" s="319" t="s">
        <v>228</v>
      </c>
      <c r="C8" s="307" t="s">
        <v>229</v>
      </c>
      <c r="D8" s="307" t="s">
        <v>230</v>
      </c>
    </row>
    <row r="9" spans="1:4" ht="28.5" customHeight="1" thickBot="1" x14ac:dyDescent="0.3">
      <c r="A9" s="318"/>
      <c r="B9" s="320"/>
      <c r="C9" s="308"/>
      <c r="D9" s="308"/>
    </row>
    <row r="10" spans="1:4" ht="16.5" thickBot="1" x14ac:dyDescent="0.3">
      <c r="A10" s="10" t="s">
        <v>231</v>
      </c>
      <c r="B10" s="301">
        <f>VLOOKUP(A5,мкд!S:T,2,FALSE)</f>
        <v>100060.05</v>
      </c>
      <c r="C10" s="12"/>
      <c r="D10" s="12"/>
    </row>
    <row r="11" spans="1:4" ht="16.5" thickBot="1" x14ac:dyDescent="0.3">
      <c r="A11" s="13" t="s">
        <v>232</v>
      </c>
      <c r="B11" s="11"/>
      <c r="C11" s="14"/>
      <c r="D11" s="14"/>
    </row>
    <row r="12" spans="1:4" x14ac:dyDescent="0.25">
      <c r="A12" s="15" t="s">
        <v>233</v>
      </c>
      <c r="B12" s="16"/>
      <c r="C12" s="17" t="s">
        <v>234</v>
      </c>
      <c r="D12" s="18" t="s">
        <v>234</v>
      </c>
    </row>
    <row r="13" spans="1:4" hidden="1" x14ac:dyDescent="0.25">
      <c r="A13" s="19" t="s">
        <v>235</v>
      </c>
      <c r="B13" s="20">
        <v>4747.6000000000004</v>
      </c>
      <c r="C13" s="21" t="s">
        <v>234</v>
      </c>
      <c r="D13" s="22" t="s">
        <v>234</v>
      </c>
    </row>
    <row r="14" spans="1:4" hidden="1" x14ac:dyDescent="0.25">
      <c r="A14" s="19" t="s">
        <v>236</v>
      </c>
      <c r="B14" s="20">
        <v>136.6</v>
      </c>
      <c r="C14" s="21"/>
      <c r="D14" s="22"/>
    </row>
    <row r="15" spans="1:4" x14ac:dyDescent="0.25">
      <c r="A15" s="19" t="s">
        <v>237</v>
      </c>
      <c r="B15" s="20">
        <f>B13+B14</f>
        <v>4884.2000000000007</v>
      </c>
      <c r="C15" s="21"/>
      <c r="D15" s="22"/>
    </row>
    <row r="16" spans="1:4" x14ac:dyDescent="0.25">
      <c r="A16" s="19" t="s">
        <v>238</v>
      </c>
      <c r="B16" s="20">
        <f>1553.3+3536.2/3</f>
        <v>2732.0333333333333</v>
      </c>
      <c r="C16" s="21" t="s">
        <v>234</v>
      </c>
      <c r="D16" s="22" t="s">
        <v>234</v>
      </c>
    </row>
    <row r="17" spans="1:7" hidden="1" x14ac:dyDescent="0.25">
      <c r="A17" s="19" t="s">
        <v>239</v>
      </c>
      <c r="B17" s="20">
        <f>228.6+894</f>
        <v>1122.5999999999999</v>
      </c>
      <c r="C17" s="21" t="s">
        <v>234</v>
      </c>
      <c r="D17" s="22" t="s">
        <v>234</v>
      </c>
    </row>
    <row r="18" spans="1:7" hidden="1" x14ac:dyDescent="0.25">
      <c r="A18" s="19" t="s">
        <v>240</v>
      </c>
      <c r="B18" s="20">
        <v>857.3</v>
      </c>
      <c r="C18" s="21" t="s">
        <v>234</v>
      </c>
      <c r="D18" s="22" t="s">
        <v>234</v>
      </c>
    </row>
    <row r="19" spans="1:7" hidden="1" x14ac:dyDescent="0.25">
      <c r="A19" s="19" t="s">
        <v>241</v>
      </c>
      <c r="B19" s="20">
        <v>787</v>
      </c>
      <c r="C19" s="21" t="s">
        <v>234</v>
      </c>
      <c r="D19" s="22" t="s">
        <v>234</v>
      </c>
    </row>
    <row r="20" spans="1:7" hidden="1" x14ac:dyDescent="0.25">
      <c r="A20" s="19" t="s">
        <v>242</v>
      </c>
      <c r="B20" s="20">
        <v>943</v>
      </c>
      <c r="C20" s="21"/>
      <c r="D20" s="22"/>
    </row>
    <row r="21" spans="1:7" hidden="1" x14ac:dyDescent="0.25">
      <c r="A21" s="19" t="s">
        <v>243</v>
      </c>
      <c r="B21" s="20">
        <v>1</v>
      </c>
      <c r="C21" s="21" t="s">
        <v>234</v>
      </c>
      <c r="D21" s="22" t="s">
        <v>234</v>
      </c>
    </row>
    <row r="22" spans="1:7" hidden="1" x14ac:dyDescent="0.25">
      <c r="A22" s="19" t="s">
        <v>244</v>
      </c>
      <c r="B22" s="20">
        <v>285</v>
      </c>
      <c r="C22" s="21"/>
      <c r="D22" s="22"/>
    </row>
    <row r="23" spans="1:7" x14ac:dyDescent="0.25">
      <c r="A23" s="19"/>
      <c r="B23" s="20"/>
      <c r="C23" s="21"/>
      <c r="D23" s="22"/>
      <c r="E23" s="3">
        <v>10</v>
      </c>
      <c r="F23" s="3">
        <v>2</v>
      </c>
    </row>
    <row r="24" spans="1:7" x14ac:dyDescent="0.25">
      <c r="A24" s="24" t="s">
        <v>245</v>
      </c>
      <c r="B24" s="25">
        <f>VLOOKUP(A5,[7]Лист1!M$1:N$65536,2,FALSE)</f>
        <v>1073334.92</v>
      </c>
      <c r="C24" s="21"/>
      <c r="D24" s="22"/>
      <c r="E24" s="26">
        <v>18.470000016299998</v>
      </c>
      <c r="F24" s="27">
        <v>20.675318018246216</v>
      </c>
    </row>
    <row r="25" spans="1:7" x14ac:dyDescent="0.25">
      <c r="A25" s="24" t="s">
        <v>246</v>
      </c>
      <c r="B25" s="25">
        <f>VLOOKUP(A5,[7]Лист1!M$1:O$65536,3,FALSE)</f>
        <v>1061735.45</v>
      </c>
      <c r="C25" s="21"/>
      <c r="D25" s="22"/>
    </row>
    <row r="26" spans="1:7" hidden="1" x14ac:dyDescent="0.25">
      <c r="A26" s="24" t="s">
        <v>247</v>
      </c>
      <c r="B26" s="25"/>
      <c r="C26" s="21"/>
      <c r="D26" s="22"/>
    </row>
    <row r="27" spans="1:7" hidden="1" x14ac:dyDescent="0.25">
      <c r="A27" s="24" t="s">
        <v>248</v>
      </c>
      <c r="B27" s="25"/>
      <c r="C27" s="21"/>
      <c r="D27" s="22"/>
    </row>
    <row r="28" spans="1:7" hidden="1" x14ac:dyDescent="0.25">
      <c r="A28" s="24" t="s">
        <v>249</v>
      </c>
      <c r="B28" s="25"/>
      <c r="C28" s="21"/>
      <c r="D28" s="22"/>
    </row>
    <row r="29" spans="1:7" hidden="1" x14ac:dyDescent="0.25">
      <c r="A29" s="24" t="s">
        <v>250</v>
      </c>
      <c r="B29" s="23"/>
      <c r="C29" s="21"/>
      <c r="D29" s="22"/>
    </row>
    <row r="30" spans="1:7" x14ac:dyDescent="0.25">
      <c r="A30" s="29"/>
      <c r="B30" s="20"/>
      <c r="C30" s="21"/>
      <c r="D30" s="22"/>
    </row>
    <row r="31" spans="1:7" x14ac:dyDescent="0.25">
      <c r="A31" s="30" t="s">
        <v>251</v>
      </c>
      <c r="B31" s="20"/>
      <c r="C31" s="21"/>
      <c r="D31" s="22"/>
    </row>
    <row r="32" spans="1:7" s="34" customFormat="1" ht="31.5" x14ac:dyDescent="0.25">
      <c r="A32" s="31" t="s">
        <v>252</v>
      </c>
      <c r="B32" s="32">
        <f>SUM(B33:B41)</f>
        <v>145126.85999999999</v>
      </c>
      <c r="C32" s="21"/>
      <c r="D32" s="22"/>
      <c r="E32" s="33">
        <f>(B26+B24-B85)/1.2/1.03</f>
        <v>-37862.738579935482</v>
      </c>
      <c r="F32" s="33" t="e">
        <f>(#REF!+#REF!-#REF!)/1.2/1.03</f>
        <v>#REF!</v>
      </c>
      <c r="G32" s="33" t="e">
        <f>(#REF!+#REF!-#REF!)/1.2/1.03</f>
        <v>#REF!</v>
      </c>
    </row>
    <row r="33" spans="1:7" x14ac:dyDescent="0.25">
      <c r="A33" s="35" t="s">
        <v>253</v>
      </c>
      <c r="B33" s="20">
        <v>73212</v>
      </c>
      <c r="C33" s="21"/>
      <c r="D33" s="22">
        <v>40014.22</v>
      </c>
      <c r="E33" s="3">
        <v>36.200000000000003</v>
      </c>
    </row>
    <row r="34" spans="1:7" hidden="1" x14ac:dyDescent="0.25">
      <c r="A34" s="35" t="s">
        <v>254</v>
      </c>
      <c r="B34" s="20"/>
      <c r="C34" s="21"/>
      <c r="D34" s="22">
        <v>0</v>
      </c>
      <c r="E34" s="3">
        <v>36.1</v>
      </c>
    </row>
    <row r="35" spans="1:7" x14ac:dyDescent="0.25">
      <c r="A35" s="35" t="s">
        <v>255</v>
      </c>
      <c r="B35" s="20">
        <v>70124</v>
      </c>
      <c r="C35" s="21"/>
      <c r="D35" s="22">
        <v>0</v>
      </c>
      <c r="E35" s="3">
        <v>102.4</v>
      </c>
    </row>
    <row r="36" spans="1:7" x14ac:dyDescent="0.25">
      <c r="A36" s="138" t="s">
        <v>397</v>
      </c>
      <c r="B36" s="202">
        <v>1790.86</v>
      </c>
      <c r="C36" s="21" t="s">
        <v>234</v>
      </c>
      <c r="D36" s="22">
        <v>0</v>
      </c>
      <c r="E36" s="3">
        <v>84.5</v>
      </c>
    </row>
    <row r="37" spans="1:7" hidden="1" x14ac:dyDescent="0.25">
      <c r="A37" s="35" t="s">
        <v>257</v>
      </c>
      <c r="B37" s="20"/>
      <c r="C37" s="21"/>
      <c r="D37" s="22">
        <v>0</v>
      </c>
      <c r="E37" s="3">
        <v>30.5</v>
      </c>
    </row>
    <row r="38" spans="1:7" hidden="1" x14ac:dyDescent="0.25">
      <c r="A38" s="35" t="s">
        <v>258</v>
      </c>
      <c r="B38" s="23">
        <v>0</v>
      </c>
      <c r="C38" s="21"/>
      <c r="D38" s="22">
        <v>0</v>
      </c>
    </row>
    <row r="39" spans="1:7" hidden="1" x14ac:dyDescent="0.25">
      <c r="A39" s="35" t="s">
        <v>259</v>
      </c>
      <c r="B39" s="23">
        <v>0</v>
      </c>
      <c r="C39" s="21"/>
      <c r="D39" s="22">
        <v>0</v>
      </c>
    </row>
    <row r="40" spans="1:7" hidden="1" x14ac:dyDescent="0.25">
      <c r="A40" s="35" t="s">
        <v>312</v>
      </c>
      <c r="B40" s="23">
        <v>0</v>
      </c>
      <c r="C40" s="21"/>
      <c r="D40" s="22"/>
    </row>
    <row r="41" spans="1:7" hidden="1" x14ac:dyDescent="0.25">
      <c r="A41" s="35" t="s">
        <v>343</v>
      </c>
      <c r="B41" s="20"/>
      <c r="C41" s="21"/>
      <c r="D41" s="22"/>
    </row>
    <row r="42" spans="1:7" s="34" customFormat="1" ht="47.25" x14ac:dyDescent="0.25">
      <c r="A42" s="31" t="s">
        <v>261</v>
      </c>
      <c r="B42" s="32">
        <f>SUM(B43:B45)</f>
        <v>14963</v>
      </c>
      <c r="C42" s="21"/>
      <c r="D42" s="22"/>
      <c r="E42" s="33"/>
      <c r="F42" s="33"/>
      <c r="G42" s="33"/>
    </row>
    <row r="43" spans="1:7" hidden="1" x14ac:dyDescent="0.25">
      <c r="A43" s="35" t="s">
        <v>262</v>
      </c>
      <c r="B43" s="20"/>
      <c r="C43" s="39"/>
      <c r="D43" s="40"/>
      <c r="E43" s="3">
        <v>75.900000000000006</v>
      </c>
    </row>
    <row r="44" spans="1:7" hidden="1" x14ac:dyDescent="0.25">
      <c r="A44" s="35" t="s">
        <v>263</v>
      </c>
      <c r="B44" s="20"/>
      <c r="C44" s="39"/>
      <c r="D44" s="40"/>
      <c r="E44" s="3">
        <v>84</v>
      </c>
    </row>
    <row r="45" spans="1:7" x14ac:dyDescent="0.25">
      <c r="A45" s="41" t="s">
        <v>264</v>
      </c>
      <c r="B45" s="20">
        <v>14963</v>
      </c>
      <c r="C45" s="39"/>
      <c r="D45" s="40"/>
    </row>
    <row r="46" spans="1:7" s="8" customFormat="1" x14ac:dyDescent="0.25">
      <c r="A46" s="31" t="s">
        <v>265</v>
      </c>
      <c r="B46" s="32">
        <f>SUM(B47:B65)</f>
        <v>82089.02</v>
      </c>
      <c r="C46" s="21"/>
      <c r="D46" s="22"/>
    </row>
    <row r="47" spans="1:7" x14ac:dyDescent="0.25">
      <c r="A47" s="35" t="s">
        <v>266</v>
      </c>
      <c r="B47" s="20">
        <v>1886.06</v>
      </c>
      <c r="C47" s="21"/>
      <c r="D47" s="22"/>
      <c r="E47" s="3" t="s">
        <v>267</v>
      </c>
    </row>
    <row r="48" spans="1:7" x14ac:dyDescent="0.25">
      <c r="A48" s="35" t="s">
        <v>268</v>
      </c>
      <c r="B48" s="20">
        <v>5538.06</v>
      </c>
      <c r="C48" s="21"/>
      <c r="D48" s="22"/>
      <c r="E48" s="3" t="s">
        <v>269</v>
      </c>
    </row>
    <row r="49" spans="1:5" hidden="1" x14ac:dyDescent="0.25">
      <c r="A49" s="42" t="s">
        <v>350</v>
      </c>
      <c r="B49" s="43"/>
      <c r="C49" s="21">
        <v>1</v>
      </c>
      <c r="D49" s="22">
        <v>4632.04</v>
      </c>
    </row>
    <row r="50" spans="1:5" hidden="1" x14ac:dyDescent="0.25">
      <c r="A50" s="42" t="s">
        <v>271</v>
      </c>
      <c r="B50" s="22">
        <v>0</v>
      </c>
      <c r="C50" s="21">
        <v>1</v>
      </c>
      <c r="D50" s="22">
        <v>4190</v>
      </c>
    </row>
    <row r="51" spans="1:5" hidden="1" x14ac:dyDescent="0.25">
      <c r="A51" s="42" t="s">
        <v>272</v>
      </c>
      <c r="B51" s="22">
        <v>0</v>
      </c>
      <c r="C51" s="21">
        <v>1</v>
      </c>
      <c r="D51" s="22">
        <v>0</v>
      </c>
    </row>
    <row r="52" spans="1:5" x14ac:dyDescent="0.25">
      <c r="A52" s="42" t="s">
        <v>542</v>
      </c>
      <c r="B52" s="43">
        <v>4200</v>
      </c>
      <c r="C52" s="21">
        <v>1</v>
      </c>
      <c r="D52" s="22">
        <v>105.14</v>
      </c>
    </row>
    <row r="53" spans="1:5" hidden="1" x14ac:dyDescent="0.25">
      <c r="A53" s="42" t="s">
        <v>274</v>
      </c>
      <c r="B53" s="23">
        <v>0</v>
      </c>
      <c r="C53" s="21">
        <v>0</v>
      </c>
      <c r="D53" s="22">
        <v>522.99</v>
      </c>
    </row>
    <row r="54" spans="1:5" x14ac:dyDescent="0.25">
      <c r="A54" s="42" t="s">
        <v>275</v>
      </c>
      <c r="B54" s="20">
        <v>6100</v>
      </c>
      <c r="C54" s="21">
        <v>1</v>
      </c>
      <c r="D54" s="44">
        <v>700.55</v>
      </c>
    </row>
    <row r="55" spans="1:5" hidden="1" x14ac:dyDescent="0.25">
      <c r="A55" s="42" t="s">
        <v>276</v>
      </c>
      <c r="B55" s="23">
        <v>0</v>
      </c>
      <c r="C55" s="21"/>
      <c r="D55" s="44"/>
    </row>
    <row r="56" spans="1:5" hidden="1" x14ac:dyDescent="0.25">
      <c r="A56" s="42" t="s">
        <v>277</v>
      </c>
      <c r="B56" s="23">
        <v>0</v>
      </c>
      <c r="C56" s="21">
        <v>0</v>
      </c>
      <c r="D56" s="22">
        <f>10695.76/1.18</f>
        <v>9064.203389830509</v>
      </c>
    </row>
    <row r="57" spans="1:5" hidden="1" x14ac:dyDescent="0.25">
      <c r="A57" s="42" t="s">
        <v>314</v>
      </c>
      <c r="B57" s="23">
        <v>0</v>
      </c>
      <c r="C57" s="21">
        <v>0</v>
      </c>
      <c r="D57" s="22">
        <f>2300/1.18</f>
        <v>1949.1525423728815</v>
      </c>
    </row>
    <row r="58" spans="1:5" hidden="1" x14ac:dyDescent="0.25">
      <c r="A58" s="42" t="s">
        <v>315</v>
      </c>
      <c r="B58" s="23">
        <v>0</v>
      </c>
      <c r="C58" s="21">
        <v>0</v>
      </c>
      <c r="D58" s="22">
        <v>0</v>
      </c>
    </row>
    <row r="59" spans="1:5" x14ac:dyDescent="0.25">
      <c r="A59" s="42" t="s">
        <v>398</v>
      </c>
      <c r="B59" s="20">
        <f>64.66+840</f>
        <v>904.66</v>
      </c>
      <c r="C59" s="21"/>
      <c r="D59" s="22"/>
    </row>
    <row r="60" spans="1:5" hidden="1" x14ac:dyDescent="0.25">
      <c r="A60" s="35" t="s">
        <v>280</v>
      </c>
      <c r="B60" s="23">
        <v>0</v>
      </c>
      <c r="C60" s="21"/>
      <c r="D60" s="22"/>
    </row>
    <row r="61" spans="1:5" hidden="1" x14ac:dyDescent="0.25">
      <c r="A61" s="35" t="s">
        <v>281</v>
      </c>
      <c r="B61" s="23">
        <v>0</v>
      </c>
      <c r="C61" s="21"/>
      <c r="D61" s="22">
        <v>0</v>
      </c>
    </row>
    <row r="62" spans="1:5" hidden="1" x14ac:dyDescent="0.25">
      <c r="A62" s="35" t="s">
        <v>340</v>
      </c>
      <c r="B62" s="23">
        <v>0</v>
      </c>
      <c r="C62" s="21"/>
      <c r="D62" s="22">
        <v>0</v>
      </c>
    </row>
    <row r="63" spans="1:5" x14ac:dyDescent="0.25">
      <c r="A63" s="35" t="s">
        <v>327</v>
      </c>
      <c r="B63" s="45">
        <v>63460.24</v>
      </c>
      <c r="C63" s="46">
        <v>1</v>
      </c>
      <c r="D63" s="22">
        <v>0</v>
      </c>
    </row>
    <row r="64" spans="1:5" hidden="1" x14ac:dyDescent="0.25">
      <c r="A64" s="35" t="s">
        <v>348</v>
      </c>
      <c r="B64" s="45"/>
      <c r="C64" s="46">
        <v>144</v>
      </c>
      <c r="D64" s="22">
        <v>2</v>
      </c>
      <c r="E64" s="3">
        <v>0</v>
      </c>
    </row>
    <row r="65" spans="1:4" hidden="1" x14ac:dyDescent="0.25">
      <c r="A65" s="35" t="s">
        <v>285</v>
      </c>
      <c r="B65" s="47">
        <v>0</v>
      </c>
      <c r="C65" s="48"/>
      <c r="D65" s="40">
        <v>0</v>
      </c>
    </row>
    <row r="66" spans="1:4" s="8" customFormat="1" x14ac:dyDescent="0.25">
      <c r="A66" s="49" t="s">
        <v>286</v>
      </c>
      <c r="B66" s="32">
        <f>SUM(B67:B73)</f>
        <v>303962.79680000007</v>
      </c>
      <c r="C66" s="39"/>
      <c r="D66" s="40"/>
    </row>
    <row r="67" spans="1:4" hidden="1" x14ac:dyDescent="0.25">
      <c r="A67" s="35" t="s">
        <v>287</v>
      </c>
      <c r="B67" s="23">
        <v>0</v>
      </c>
      <c r="C67" s="39"/>
      <c r="D67" s="40"/>
    </row>
    <row r="68" spans="1:4" x14ac:dyDescent="0.25">
      <c r="A68" s="35" t="s">
        <v>288</v>
      </c>
      <c r="B68" s="20">
        <f>106272*1.04*1.12</f>
        <v>123785.62560000001</v>
      </c>
      <c r="C68" s="39"/>
      <c r="D68" s="40"/>
    </row>
    <row r="69" spans="1:4" hidden="1" x14ac:dyDescent="0.25">
      <c r="A69" s="35" t="s">
        <v>289</v>
      </c>
      <c r="B69" s="23">
        <v>0</v>
      </c>
      <c r="C69" s="39"/>
      <c r="D69" s="40"/>
    </row>
    <row r="70" spans="1:4" x14ac:dyDescent="0.25">
      <c r="A70" s="41" t="s">
        <v>291</v>
      </c>
      <c r="B70" s="20">
        <v>28964</v>
      </c>
      <c r="C70" s="39"/>
      <c r="D70" s="40"/>
    </row>
    <row r="71" spans="1:4" x14ac:dyDescent="0.25">
      <c r="A71" s="41" t="s">
        <v>292</v>
      </c>
      <c r="B71" s="20">
        <f>49884*1.04*1.12</f>
        <v>58104.883200000004</v>
      </c>
      <c r="C71" s="39"/>
      <c r="D71" s="40"/>
    </row>
    <row r="72" spans="1:4" x14ac:dyDescent="0.25">
      <c r="A72" s="41" t="s">
        <v>293</v>
      </c>
      <c r="B72" s="20">
        <f>8464*1.04*1.12</f>
        <v>9858.8672000000006</v>
      </c>
      <c r="C72" s="39"/>
      <c r="D72" s="40"/>
    </row>
    <row r="73" spans="1:4" x14ac:dyDescent="0.25">
      <c r="A73" s="41" t="s">
        <v>294</v>
      </c>
      <c r="B73" s="20">
        <f>71471*1.04*1.12</f>
        <v>83249.420800000007</v>
      </c>
      <c r="C73" s="39"/>
      <c r="D73" s="40"/>
    </row>
    <row r="74" spans="1:4" ht="63" x14ac:dyDescent="0.25">
      <c r="A74" s="50" t="s">
        <v>295</v>
      </c>
      <c r="B74" s="32">
        <f>SUM(B75:B75)</f>
        <v>203654</v>
      </c>
      <c r="C74" s="39"/>
      <c r="D74" s="40"/>
    </row>
    <row r="75" spans="1:4" x14ac:dyDescent="0.25">
      <c r="A75" s="41" t="s">
        <v>296</v>
      </c>
      <c r="B75" s="20">
        <v>203654</v>
      </c>
      <c r="C75" s="39"/>
      <c r="D75" s="40"/>
    </row>
    <row r="76" spans="1:4" s="8" customFormat="1" x14ac:dyDescent="0.25">
      <c r="A76" s="49" t="s">
        <v>297</v>
      </c>
      <c r="B76" s="32">
        <f>SUM(B77:B80)</f>
        <v>156461.01</v>
      </c>
      <c r="C76" s="39"/>
      <c r="D76" s="40"/>
    </row>
    <row r="77" spans="1:4" x14ac:dyDescent="0.25">
      <c r="A77" s="51" t="s">
        <v>298</v>
      </c>
      <c r="B77" s="20">
        <v>108647</v>
      </c>
      <c r="C77" s="39"/>
      <c r="D77" s="40"/>
    </row>
    <row r="78" spans="1:4" hidden="1" x14ac:dyDescent="0.25">
      <c r="A78" s="51" t="s">
        <v>299</v>
      </c>
      <c r="B78" s="105">
        <f>(B26/1.2)*30%</f>
        <v>0</v>
      </c>
      <c r="C78" s="39"/>
      <c r="D78" s="40"/>
    </row>
    <row r="79" spans="1:4" x14ac:dyDescent="0.25">
      <c r="A79" s="52" t="s">
        <v>300</v>
      </c>
      <c r="B79" s="20">
        <f>19858.34+18101.67</f>
        <v>37960.009999999995</v>
      </c>
      <c r="C79" s="39"/>
      <c r="D79" s="40"/>
    </row>
    <row r="80" spans="1:4" x14ac:dyDescent="0.25">
      <c r="A80" s="52" t="s">
        <v>301</v>
      </c>
      <c r="B80" s="20">
        <v>9854</v>
      </c>
      <c r="C80" s="39"/>
      <c r="D80" s="40"/>
    </row>
    <row r="81" spans="1:4" x14ac:dyDescent="0.25">
      <c r="A81" s="53" t="s">
        <v>302</v>
      </c>
      <c r="B81" s="25">
        <f>B32+B42+B46+B66+B74+B76</f>
        <v>906256.68680000002</v>
      </c>
      <c r="C81" s="39"/>
      <c r="D81" s="40"/>
    </row>
    <row r="82" spans="1:4" x14ac:dyDescent="0.25">
      <c r="A82" s="54" t="s">
        <v>303</v>
      </c>
      <c r="B82" s="20">
        <f>B81*0.03</f>
        <v>27187.700604000001</v>
      </c>
      <c r="C82" s="39"/>
      <c r="D82" s="40"/>
    </row>
    <row r="83" spans="1:4" s="34" customFormat="1" x14ac:dyDescent="0.25">
      <c r="A83" s="55" t="s">
        <v>304</v>
      </c>
      <c r="B83" s="32">
        <f>B81+B82</f>
        <v>933444.38740400004</v>
      </c>
      <c r="C83" s="39"/>
      <c r="D83" s="40"/>
    </row>
    <row r="84" spans="1:4" ht="16.5" thickBot="1" x14ac:dyDescent="0.3">
      <c r="A84" s="56" t="s">
        <v>305</v>
      </c>
      <c r="B84" s="57">
        <f>B83*0.2</f>
        <v>186688.87748080003</v>
      </c>
      <c r="C84" s="39"/>
      <c r="D84" s="40"/>
    </row>
    <row r="85" spans="1:4" s="8" customFormat="1" ht="16.5" thickBot="1" x14ac:dyDescent="0.3">
      <c r="A85" s="58" t="s">
        <v>306</v>
      </c>
      <c r="B85" s="59">
        <f>B83+B84</f>
        <v>1120133.2648848002</v>
      </c>
      <c r="C85" s="60"/>
      <c r="D85" s="61"/>
    </row>
    <row r="86" spans="1:4" s="8" customFormat="1" ht="16.5" thickBot="1" x14ac:dyDescent="0.3">
      <c r="A86" s="62" t="s">
        <v>307</v>
      </c>
      <c r="B86" s="59">
        <f>B10+B24+B26+B28+B29-B85</f>
        <v>53261.705115199788</v>
      </c>
      <c r="C86" s="63"/>
      <c r="D86" s="63"/>
    </row>
    <row r="87" spans="1:4" s="8" customFormat="1" ht="16.5" thickBot="1" x14ac:dyDescent="0.3">
      <c r="A87" s="64" t="s">
        <v>308</v>
      </c>
      <c r="B87" s="296">
        <f>B10+B25+B27++B28+B29-B85</f>
        <v>41662.235115199815</v>
      </c>
      <c r="C87" s="63"/>
      <c r="D87" s="63"/>
    </row>
    <row r="88" spans="1:4" s="8" customFormat="1" ht="16.5" hidden="1" thickBot="1" x14ac:dyDescent="0.3">
      <c r="A88" s="65" t="s">
        <v>309</v>
      </c>
      <c r="B88" s="66">
        <f>B11+B24-B25</f>
        <v>11599.469999999972</v>
      </c>
      <c r="C88" s="63"/>
      <c r="D88" s="63"/>
    </row>
    <row r="89" spans="1:4" s="8" customFormat="1" hidden="1" x14ac:dyDescent="0.25">
      <c r="A89" s="67"/>
      <c r="B89" s="68"/>
      <c r="C89" s="63"/>
      <c r="D89" s="63"/>
    </row>
    <row r="90" spans="1:4" x14ac:dyDescent="0.25">
      <c r="A90" s="69"/>
    </row>
    <row r="91" spans="1:4" x14ac:dyDescent="0.25">
      <c r="A91" s="309" t="s">
        <v>310</v>
      </c>
      <c r="B91" s="310"/>
    </row>
    <row r="92" spans="1:4" x14ac:dyDescent="0.25">
      <c r="A92" s="69"/>
      <c r="B92" s="71"/>
    </row>
    <row r="93" spans="1:4" x14ac:dyDescent="0.25">
      <c r="A93" s="311"/>
      <c r="B93" s="312"/>
      <c r="C93" s="72"/>
    </row>
  </sheetData>
  <autoFilter ref="A32:B88" xr:uid="{00000000-0009-0000-0000-000016000000}">
    <filterColumn colId="1">
      <filters>
        <filter val="1 164 443,53"/>
        <filter val="1 199 376,84"/>
        <filter val="1 439 252,21"/>
        <filter val="10 024,63"/>
        <filter val="100 345,43"/>
        <filter val="102 461,17"/>
        <filter val="105 272,46"/>
        <filter val="12 180,15"/>
        <filter val="13 973,00"/>
        <filter val="15 916,72"/>
        <filter val="16 027,30"/>
        <filter val="165 649,19"/>
        <filter val="165 790,76"/>
        <filter val="18 764,47"/>
        <filter val="188 628,58"/>
        <filter val="2 931,93"/>
        <filter val="239 875,37"/>
        <filter val="254 070,11"/>
        <filter val="28 609,65"/>
        <filter val="30 532,16"/>
        <filter val="34 933,31"/>
        <filter val="36 159,02"/>
        <filter val="36 224,65"/>
        <filter val="41 470,57"/>
        <filter val="42 956,65"/>
        <filter val="44 397,47"/>
        <filter val="48 643,08"/>
        <filter val="5 310,91"/>
        <filter val="6 304,32"/>
        <filter val="6 400,04"/>
        <filter val="63 677,54"/>
        <filter val="66 000,00"/>
        <filter val="67 611,91"/>
        <filter val="7 569,01"/>
        <filter val="70,09"/>
        <filter val="720,12"/>
        <filter val="75 960,25"/>
        <filter val="8 269,57"/>
        <filter val="84 058,68"/>
        <filter val="84 427,22"/>
        <filter val="84 582,47"/>
      </filters>
    </filterColumn>
  </autoFilter>
  <mergeCells count="9">
    <mergeCell ref="D8:D9"/>
    <mergeCell ref="A91:B91"/>
    <mergeCell ref="A93:B93"/>
    <mergeCell ref="A1:B1"/>
    <mergeCell ref="A2:B2"/>
    <mergeCell ref="A3:B3"/>
    <mergeCell ref="A8:A9"/>
    <mergeCell ref="B8:B9"/>
    <mergeCell ref="C8:C9"/>
  </mergeCells>
  <phoneticPr fontId="43" type="noConversion"/>
  <pageMargins left="0.9055118110236221" right="0.9055118110236221" top="0.74803149606299213" bottom="0.74803149606299213" header="0.31496062992125984" footer="0.31496062992125984"/>
  <pageSetup paperSize="9" scale="77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filterMode="1">
    <pageSetUpPr fitToPage="1"/>
  </sheetPr>
  <dimension ref="A1:G94"/>
  <sheetViews>
    <sheetView view="pageBreakPreview" topLeftCell="A45" zoomScale="80" zoomScaleNormal="100" zoomScaleSheetLayoutView="80" workbookViewId="0">
      <selection activeCell="B81" sqref="B81"/>
    </sheetView>
  </sheetViews>
  <sheetFormatPr defaultRowHeight="15.75" x14ac:dyDescent="0.25"/>
  <cols>
    <col min="1" max="1" width="91.5703125" style="3" customWidth="1"/>
    <col min="2" max="2" width="15" style="70" customWidth="1"/>
    <col min="3" max="4" width="13.85546875" style="3" customWidth="1"/>
    <col min="5" max="5" width="14.140625" style="3" customWidth="1"/>
    <col min="6" max="6" width="11.140625" style="3" customWidth="1"/>
    <col min="7" max="7" width="12.42578125" style="3" bestFit="1" customWidth="1"/>
    <col min="8" max="16384" width="9.140625" style="3"/>
  </cols>
  <sheetData>
    <row r="1" spans="1:4" ht="16.5" customHeight="1" x14ac:dyDescent="0.25">
      <c r="A1" s="313" t="s">
        <v>224</v>
      </c>
      <c r="B1" s="314"/>
    </row>
    <row r="2" spans="1:4" ht="16.5" x14ac:dyDescent="0.25">
      <c r="A2" s="315" t="s">
        <v>225</v>
      </c>
      <c r="B2" s="316"/>
    </row>
    <row r="3" spans="1:4" ht="16.5" x14ac:dyDescent="0.25">
      <c r="A3" s="315" t="s">
        <v>226</v>
      </c>
      <c r="B3" s="316"/>
    </row>
    <row r="4" spans="1:4" x14ac:dyDescent="0.25">
      <c r="A4" s="4" t="s">
        <v>516</v>
      </c>
      <c r="B4" s="5"/>
    </row>
    <row r="5" spans="1:4" x14ac:dyDescent="0.25">
      <c r="A5" s="4" t="s">
        <v>77</v>
      </c>
      <c r="B5" s="6"/>
    </row>
    <row r="6" spans="1:4" ht="5.25" customHeight="1" x14ac:dyDescent="0.25">
      <c r="A6" s="4"/>
      <c r="B6" s="7"/>
      <c r="C6" s="8"/>
    </row>
    <row r="7" spans="1:4" ht="16.5" thickBot="1" x14ac:dyDescent="0.3">
      <c r="A7" s="9"/>
      <c r="B7" s="7"/>
      <c r="C7" s="8"/>
    </row>
    <row r="8" spans="1:4" ht="15.75" customHeight="1" x14ac:dyDescent="0.25">
      <c r="A8" s="317" t="s">
        <v>227</v>
      </c>
      <c r="B8" s="319" t="s">
        <v>228</v>
      </c>
      <c r="C8" s="307" t="s">
        <v>229</v>
      </c>
      <c r="D8" s="307" t="s">
        <v>230</v>
      </c>
    </row>
    <row r="9" spans="1:4" ht="28.5" customHeight="1" thickBot="1" x14ac:dyDescent="0.3">
      <c r="A9" s="318"/>
      <c r="B9" s="320"/>
      <c r="C9" s="308"/>
      <c r="D9" s="308"/>
    </row>
    <row r="10" spans="1:4" ht="16.5" thickBot="1" x14ac:dyDescent="0.3">
      <c r="A10" s="10" t="s">
        <v>231</v>
      </c>
      <c r="B10" s="301">
        <f>VLOOKUP(A5,мкд!S:T,2,FALSE)</f>
        <v>-1680557.45</v>
      </c>
      <c r="C10" s="12"/>
      <c r="D10" s="12"/>
    </row>
    <row r="11" spans="1:4" ht="16.5" thickBot="1" x14ac:dyDescent="0.3">
      <c r="A11" s="13" t="s">
        <v>232</v>
      </c>
      <c r="B11" s="11"/>
      <c r="C11" s="14"/>
      <c r="D11" s="14"/>
    </row>
    <row r="12" spans="1:4" x14ac:dyDescent="0.25">
      <c r="A12" s="15" t="s">
        <v>233</v>
      </c>
      <c r="B12" s="16"/>
      <c r="C12" s="17" t="s">
        <v>234</v>
      </c>
      <c r="D12" s="18" t="s">
        <v>234</v>
      </c>
    </row>
    <row r="13" spans="1:4" hidden="1" x14ac:dyDescent="0.25">
      <c r="A13" s="19" t="s">
        <v>235</v>
      </c>
      <c r="B13" s="20">
        <v>2291.4</v>
      </c>
      <c r="C13" s="21" t="s">
        <v>234</v>
      </c>
      <c r="D13" s="22" t="s">
        <v>234</v>
      </c>
    </row>
    <row r="14" spans="1:4" hidden="1" x14ac:dyDescent="0.25">
      <c r="A14" s="19" t="s">
        <v>236</v>
      </c>
      <c r="B14" s="20">
        <v>0</v>
      </c>
      <c r="C14" s="21"/>
      <c r="D14" s="22"/>
    </row>
    <row r="15" spans="1:4" x14ac:dyDescent="0.25">
      <c r="A15" s="19" t="s">
        <v>237</v>
      </c>
      <c r="B15" s="20">
        <f>B13+B14</f>
        <v>2291.4</v>
      </c>
      <c r="C15" s="21"/>
      <c r="D15" s="22"/>
    </row>
    <row r="16" spans="1:4" x14ac:dyDescent="0.25">
      <c r="A16" s="19" t="s">
        <v>238</v>
      </c>
      <c r="B16" s="20">
        <f>1109+1894.9/3</f>
        <v>1740.6333333333332</v>
      </c>
      <c r="C16" s="21" t="s">
        <v>234</v>
      </c>
      <c r="D16" s="22" t="s">
        <v>234</v>
      </c>
    </row>
    <row r="17" spans="1:7" hidden="1" x14ac:dyDescent="0.25">
      <c r="A17" s="19" t="s">
        <v>239</v>
      </c>
      <c r="B17" s="20">
        <v>0</v>
      </c>
      <c r="C17" s="21" t="s">
        <v>234</v>
      </c>
      <c r="D17" s="22" t="s">
        <v>234</v>
      </c>
    </row>
    <row r="18" spans="1:7" hidden="1" x14ac:dyDescent="0.25">
      <c r="A18" s="19" t="s">
        <v>240</v>
      </c>
      <c r="B18" s="20">
        <v>548.79999999999995</v>
      </c>
      <c r="C18" s="21" t="s">
        <v>234</v>
      </c>
      <c r="D18" s="22" t="s">
        <v>234</v>
      </c>
    </row>
    <row r="19" spans="1:7" hidden="1" x14ac:dyDescent="0.25">
      <c r="A19" s="19" t="s">
        <v>241</v>
      </c>
      <c r="B19" s="20">
        <v>0</v>
      </c>
      <c r="C19" s="21" t="s">
        <v>234</v>
      </c>
      <c r="D19" s="22" t="s">
        <v>234</v>
      </c>
    </row>
    <row r="20" spans="1:7" hidden="1" x14ac:dyDescent="0.25">
      <c r="A20" s="19" t="s">
        <v>242</v>
      </c>
      <c r="B20" s="20">
        <v>693</v>
      </c>
      <c r="C20" s="21"/>
      <c r="D20" s="22"/>
    </row>
    <row r="21" spans="1:7" hidden="1" x14ac:dyDescent="0.25">
      <c r="A21" s="19" t="s">
        <v>243</v>
      </c>
      <c r="B21" s="20">
        <v>0</v>
      </c>
      <c r="C21" s="21" t="s">
        <v>234</v>
      </c>
      <c r="D21" s="22" t="s">
        <v>234</v>
      </c>
    </row>
    <row r="22" spans="1:7" hidden="1" x14ac:dyDescent="0.25">
      <c r="A22" s="19" t="s">
        <v>244</v>
      </c>
      <c r="B22" s="20">
        <v>124</v>
      </c>
      <c r="C22" s="21"/>
      <c r="D22" s="22"/>
    </row>
    <row r="23" spans="1:7" x14ac:dyDescent="0.25">
      <c r="A23" s="19"/>
      <c r="B23" s="20"/>
      <c r="C23" s="21"/>
      <c r="D23" s="22"/>
      <c r="E23" s="3">
        <v>12</v>
      </c>
    </row>
    <row r="24" spans="1:7" x14ac:dyDescent="0.25">
      <c r="A24" s="24" t="s">
        <v>245</v>
      </c>
      <c r="B24" s="25">
        <f>VLOOKUP(A5,[7]Лист1!M$1:N$65536,2,FALSE)</f>
        <v>472230.84</v>
      </c>
      <c r="C24" s="21"/>
      <c r="D24" s="22"/>
      <c r="E24" s="26">
        <v>17.18</v>
      </c>
    </row>
    <row r="25" spans="1:7" x14ac:dyDescent="0.25">
      <c r="A25" s="24" t="s">
        <v>246</v>
      </c>
      <c r="B25" s="25">
        <f>VLOOKUP(A5,[7]Лист1!M$1:O$65536,3,FALSE)</f>
        <v>447677.74</v>
      </c>
      <c r="C25" s="21"/>
      <c r="D25" s="22"/>
    </row>
    <row r="26" spans="1:7" hidden="1" x14ac:dyDescent="0.25">
      <c r="A26" s="24" t="s">
        <v>247</v>
      </c>
      <c r="B26" s="25"/>
      <c r="C26" s="21"/>
      <c r="D26" s="22"/>
    </row>
    <row r="27" spans="1:7" hidden="1" x14ac:dyDescent="0.25">
      <c r="A27" s="24" t="s">
        <v>248</v>
      </c>
      <c r="B27" s="25">
        <f>B26</f>
        <v>0</v>
      </c>
      <c r="C27" s="21"/>
      <c r="D27" s="22"/>
    </row>
    <row r="28" spans="1:7" hidden="1" x14ac:dyDescent="0.25">
      <c r="A28" s="24" t="s">
        <v>249</v>
      </c>
      <c r="B28" s="25"/>
      <c r="C28" s="21"/>
      <c r="D28" s="22"/>
    </row>
    <row r="29" spans="1:7" hidden="1" x14ac:dyDescent="0.25">
      <c r="A29" s="24" t="s">
        <v>250</v>
      </c>
      <c r="B29" s="23"/>
      <c r="C29" s="21"/>
      <c r="D29" s="22"/>
    </row>
    <row r="30" spans="1:7" x14ac:dyDescent="0.25">
      <c r="A30" s="29"/>
      <c r="B30" s="20"/>
      <c r="C30" s="21"/>
      <c r="D30" s="22"/>
    </row>
    <row r="31" spans="1:7" x14ac:dyDescent="0.25">
      <c r="A31" s="30" t="s">
        <v>251</v>
      </c>
      <c r="B31" s="20"/>
      <c r="C31" s="21"/>
      <c r="D31" s="22"/>
    </row>
    <row r="32" spans="1:7" s="34" customFormat="1" ht="31.5" x14ac:dyDescent="0.25">
      <c r="A32" s="31" t="s">
        <v>252</v>
      </c>
      <c r="B32" s="32">
        <f>SUM(B33:B41)</f>
        <v>184199.53</v>
      </c>
      <c r="C32" s="21"/>
      <c r="D32" s="22"/>
      <c r="E32" s="33">
        <f>(B24-B86)/1.2/1.03</f>
        <v>-313590.29679223307</v>
      </c>
      <c r="F32" s="33" t="e">
        <f>(#REF!-#REF!)/1.2/1.03</f>
        <v>#REF!</v>
      </c>
      <c r="G32" s="33" t="e">
        <f>(#REF!-#REF!)/1.2/1.03</f>
        <v>#REF!</v>
      </c>
    </row>
    <row r="33" spans="1:7" x14ac:dyDescent="0.25">
      <c r="A33" s="35" t="s">
        <v>253</v>
      </c>
      <c r="B33" s="20">
        <v>93292.03</v>
      </c>
      <c r="C33" s="21"/>
      <c r="D33" s="22">
        <v>22565.52</v>
      </c>
    </row>
    <row r="34" spans="1:7" hidden="1" x14ac:dyDescent="0.25">
      <c r="A34" s="35" t="s">
        <v>254</v>
      </c>
      <c r="B34" s="20"/>
      <c r="C34" s="21"/>
      <c r="D34" s="22">
        <v>0</v>
      </c>
    </row>
    <row r="35" spans="1:7" x14ac:dyDescent="0.25">
      <c r="A35" s="35" t="s">
        <v>255</v>
      </c>
      <c r="B35" s="20">
        <v>90907.5</v>
      </c>
      <c r="C35" s="21"/>
      <c r="D35" s="22">
        <v>0</v>
      </c>
    </row>
    <row r="36" spans="1:7" hidden="1" x14ac:dyDescent="0.25">
      <c r="A36" s="35" t="s">
        <v>256</v>
      </c>
      <c r="B36" s="20"/>
      <c r="C36" s="21" t="s">
        <v>234</v>
      </c>
      <c r="D36" s="22">
        <v>0</v>
      </c>
    </row>
    <row r="37" spans="1:7" hidden="1" x14ac:dyDescent="0.25">
      <c r="A37" s="35" t="s">
        <v>257</v>
      </c>
      <c r="B37" s="23">
        <v>0</v>
      </c>
      <c r="C37" s="21"/>
      <c r="D37" s="22">
        <v>0</v>
      </c>
    </row>
    <row r="38" spans="1:7" hidden="1" x14ac:dyDescent="0.25">
      <c r="A38" s="35" t="s">
        <v>343</v>
      </c>
      <c r="B38" s="23">
        <v>0</v>
      </c>
      <c r="C38" s="21"/>
      <c r="D38" s="22">
        <v>0</v>
      </c>
    </row>
    <row r="39" spans="1:7" hidden="1" x14ac:dyDescent="0.25">
      <c r="A39" s="35" t="s">
        <v>259</v>
      </c>
      <c r="B39" s="23">
        <v>0</v>
      </c>
      <c r="C39" s="21"/>
      <c r="D39" s="22">
        <v>0</v>
      </c>
    </row>
    <row r="40" spans="1:7" hidden="1" x14ac:dyDescent="0.25">
      <c r="A40" s="35" t="s">
        <v>312</v>
      </c>
      <c r="B40" s="23">
        <v>0</v>
      </c>
      <c r="C40" s="21"/>
      <c r="D40" s="22"/>
    </row>
    <row r="41" spans="1:7" hidden="1" x14ac:dyDescent="0.25">
      <c r="A41" s="35" t="s">
        <v>343</v>
      </c>
      <c r="B41" s="20"/>
      <c r="C41" s="21"/>
      <c r="D41" s="22"/>
    </row>
    <row r="42" spans="1:7" s="34" customFormat="1" ht="47.25" x14ac:dyDescent="0.25">
      <c r="A42" s="31" t="s">
        <v>261</v>
      </c>
      <c r="B42" s="32">
        <f>SUM(B43:B45)</f>
        <v>15848.43</v>
      </c>
      <c r="C42" s="21"/>
      <c r="D42" s="22"/>
      <c r="E42" s="33"/>
      <c r="F42" s="33"/>
      <c r="G42" s="33"/>
    </row>
    <row r="43" spans="1:7" x14ac:dyDescent="0.25">
      <c r="A43" s="35" t="s">
        <v>262</v>
      </c>
      <c r="B43" s="20">
        <v>847.43</v>
      </c>
      <c r="C43" s="39"/>
      <c r="D43" s="40"/>
    </row>
    <row r="44" spans="1:7" hidden="1" x14ac:dyDescent="0.25">
      <c r="A44" s="35" t="s">
        <v>263</v>
      </c>
      <c r="B44" s="20"/>
      <c r="C44" s="39"/>
      <c r="D44" s="40"/>
    </row>
    <row r="45" spans="1:7" x14ac:dyDescent="0.25">
      <c r="A45" s="41" t="s">
        <v>264</v>
      </c>
      <c r="B45" s="20">
        <v>15001</v>
      </c>
      <c r="C45" s="39"/>
      <c r="D45" s="40"/>
    </row>
    <row r="46" spans="1:7" s="8" customFormat="1" x14ac:dyDescent="0.25">
      <c r="A46" s="31" t="s">
        <v>265</v>
      </c>
      <c r="B46" s="32">
        <f>SUM(B47:B65)</f>
        <v>164589.84999999998</v>
      </c>
      <c r="C46" s="21"/>
      <c r="D46" s="22"/>
    </row>
    <row r="47" spans="1:7" x14ac:dyDescent="0.25">
      <c r="A47" s="35" t="s">
        <v>266</v>
      </c>
      <c r="B47" s="20">
        <v>2305</v>
      </c>
      <c r="C47" s="21"/>
      <c r="D47" s="22"/>
      <c r="E47" s="3" t="s">
        <v>267</v>
      </c>
    </row>
    <row r="48" spans="1:7" x14ac:dyDescent="0.25">
      <c r="A48" s="35" t="s">
        <v>268</v>
      </c>
      <c r="B48" s="20">
        <v>2798.88</v>
      </c>
      <c r="C48" s="21"/>
      <c r="D48" s="22"/>
      <c r="E48" s="3" t="s">
        <v>269</v>
      </c>
    </row>
    <row r="49" spans="1:5" x14ac:dyDescent="0.25">
      <c r="A49" s="42" t="s">
        <v>393</v>
      </c>
      <c r="B49" s="22">
        <v>0</v>
      </c>
      <c r="C49" s="21"/>
      <c r="D49" s="22"/>
    </row>
    <row r="50" spans="1:5" hidden="1" x14ac:dyDescent="0.25">
      <c r="A50" s="42" t="s">
        <v>271</v>
      </c>
      <c r="B50" s="22">
        <v>0</v>
      </c>
      <c r="C50" s="21"/>
      <c r="D50" s="22"/>
    </row>
    <row r="51" spans="1:5" x14ac:dyDescent="0.25">
      <c r="A51" s="42" t="s">
        <v>542</v>
      </c>
      <c r="B51" s="43">
        <v>4200</v>
      </c>
      <c r="C51" s="21"/>
      <c r="D51" s="22"/>
    </row>
    <row r="52" spans="1:5" hidden="1" x14ac:dyDescent="0.25">
      <c r="A52" s="42" t="s">
        <v>347</v>
      </c>
      <c r="B52" s="43"/>
      <c r="C52" s="21"/>
      <c r="D52" s="22"/>
    </row>
    <row r="53" spans="1:5" x14ac:dyDescent="0.25">
      <c r="A53" s="42" t="s">
        <v>394</v>
      </c>
      <c r="B53" s="20">
        <v>21600</v>
      </c>
      <c r="C53" s="21">
        <v>0</v>
      </c>
      <c r="D53" s="22">
        <v>522.99</v>
      </c>
    </row>
    <row r="54" spans="1:5" x14ac:dyDescent="0.25">
      <c r="A54" s="42" t="s">
        <v>275</v>
      </c>
      <c r="B54" s="20">
        <v>8133.61</v>
      </c>
      <c r="C54" s="21">
        <v>1</v>
      </c>
      <c r="D54" s="44">
        <v>700.55</v>
      </c>
    </row>
    <row r="55" spans="1:5" hidden="1" x14ac:dyDescent="0.25">
      <c r="A55" s="42" t="s">
        <v>276</v>
      </c>
      <c r="B55" s="23">
        <v>0</v>
      </c>
      <c r="C55" s="21"/>
      <c r="D55" s="44"/>
    </row>
    <row r="56" spans="1:5" hidden="1" x14ac:dyDescent="0.25">
      <c r="A56" s="42" t="s">
        <v>277</v>
      </c>
      <c r="B56" s="23">
        <v>0</v>
      </c>
      <c r="C56" s="21">
        <v>0</v>
      </c>
      <c r="D56" s="22">
        <f>10695.76/1.18</f>
        <v>9064.203389830509</v>
      </c>
    </row>
    <row r="57" spans="1:5" hidden="1" x14ac:dyDescent="0.25">
      <c r="A57" s="42" t="s">
        <v>394</v>
      </c>
      <c r="B57" s="20"/>
      <c r="C57" s="21">
        <v>0</v>
      </c>
      <c r="D57" s="22">
        <f>2300/1.18</f>
        <v>1949.1525423728815</v>
      </c>
    </row>
    <row r="58" spans="1:5" hidden="1" x14ac:dyDescent="0.25">
      <c r="A58" s="42" t="s">
        <v>395</v>
      </c>
      <c r="B58" s="20"/>
      <c r="C58" s="21">
        <v>0</v>
      </c>
      <c r="D58" s="22">
        <v>0</v>
      </c>
    </row>
    <row r="59" spans="1:5" x14ac:dyDescent="0.25">
      <c r="A59" s="42" t="s">
        <v>362</v>
      </c>
      <c r="B59" s="20">
        <f>598.74+17944</f>
        <v>18542.740000000002</v>
      </c>
      <c r="C59" s="21"/>
      <c r="D59" s="22"/>
    </row>
    <row r="60" spans="1:5" hidden="1" x14ac:dyDescent="0.25">
      <c r="A60" s="35" t="s">
        <v>280</v>
      </c>
      <c r="B60" s="23">
        <v>0</v>
      </c>
      <c r="C60" s="21"/>
      <c r="D60" s="22"/>
    </row>
    <row r="61" spans="1:5" hidden="1" x14ac:dyDescent="0.25">
      <c r="A61" s="35" t="s">
        <v>281</v>
      </c>
      <c r="B61" s="23">
        <v>0</v>
      </c>
      <c r="C61" s="21"/>
      <c r="D61" s="22">
        <v>0</v>
      </c>
    </row>
    <row r="62" spans="1:5" hidden="1" x14ac:dyDescent="0.25">
      <c r="A62" s="35" t="s">
        <v>340</v>
      </c>
      <c r="B62" s="23">
        <v>0</v>
      </c>
      <c r="C62" s="21"/>
      <c r="D62" s="22">
        <v>0</v>
      </c>
    </row>
    <row r="63" spans="1:5" x14ac:dyDescent="0.25">
      <c r="A63" s="35" t="s">
        <v>327</v>
      </c>
      <c r="B63" s="45">
        <v>10409.620000000001</v>
      </c>
      <c r="C63" s="46">
        <v>1</v>
      </c>
      <c r="D63" s="22">
        <v>0</v>
      </c>
    </row>
    <row r="64" spans="1:5" x14ac:dyDescent="0.25">
      <c r="A64" s="35" t="s">
        <v>396</v>
      </c>
      <c r="B64" s="45">
        <v>50400</v>
      </c>
      <c r="C64" s="46">
        <v>45</v>
      </c>
      <c r="D64" s="22">
        <v>2</v>
      </c>
      <c r="E64" s="3">
        <v>0</v>
      </c>
    </row>
    <row r="65" spans="1:4" x14ac:dyDescent="0.25">
      <c r="A65" s="35" t="s">
        <v>547</v>
      </c>
      <c r="B65" s="47">
        <v>46200</v>
      </c>
      <c r="C65" s="48"/>
      <c r="D65" s="40">
        <v>0</v>
      </c>
    </row>
    <row r="66" spans="1:4" s="8" customFormat="1" x14ac:dyDescent="0.25">
      <c r="A66" s="49" t="s">
        <v>286</v>
      </c>
      <c r="B66" s="32">
        <f>SUM(B67:B74)</f>
        <v>165907.66240000003</v>
      </c>
      <c r="C66" s="39"/>
      <c r="D66" s="40"/>
    </row>
    <row r="67" spans="1:4" hidden="1" x14ac:dyDescent="0.25">
      <c r="A67" s="35" t="s">
        <v>287</v>
      </c>
      <c r="B67" s="23">
        <v>0</v>
      </c>
      <c r="C67" s="39"/>
      <c r="D67" s="40"/>
    </row>
    <row r="68" spans="1:4" x14ac:dyDescent="0.25">
      <c r="A68" s="35" t="s">
        <v>288</v>
      </c>
      <c r="B68" s="20">
        <f>67205*1.04*1.12</f>
        <v>78280.384000000005</v>
      </c>
      <c r="C68" s="39"/>
      <c r="D68" s="40"/>
    </row>
    <row r="69" spans="1:4" hidden="1" x14ac:dyDescent="0.25">
      <c r="A69" s="35" t="s">
        <v>289</v>
      </c>
      <c r="B69" s="23">
        <v>0</v>
      </c>
      <c r="C69" s="39"/>
      <c r="D69" s="40"/>
    </row>
    <row r="70" spans="1:4" x14ac:dyDescent="0.25">
      <c r="A70" s="41" t="s">
        <v>290</v>
      </c>
      <c r="B70" s="20">
        <v>2568</v>
      </c>
      <c r="C70" s="39"/>
      <c r="D70" s="40"/>
    </row>
    <row r="71" spans="1:4" x14ac:dyDescent="0.25">
      <c r="A71" s="41" t="s">
        <v>291</v>
      </c>
      <c r="B71" s="20">
        <v>14201</v>
      </c>
      <c r="C71" s="39"/>
      <c r="D71" s="40"/>
    </row>
    <row r="72" spans="1:4" x14ac:dyDescent="0.25">
      <c r="A72" s="41" t="s">
        <v>292</v>
      </c>
      <c r="B72" s="20">
        <f>23403*1.04*1.12</f>
        <v>27259.814400000007</v>
      </c>
      <c r="C72" s="39"/>
      <c r="D72" s="40"/>
    </row>
    <row r="73" spans="1:4" x14ac:dyDescent="0.25">
      <c r="A73" s="41" t="s">
        <v>293</v>
      </c>
      <c r="B73" s="20">
        <f>3900*1.04*1.12</f>
        <v>4542.72</v>
      </c>
      <c r="C73" s="39"/>
      <c r="D73" s="40"/>
    </row>
    <row r="74" spans="1:4" x14ac:dyDescent="0.25">
      <c r="A74" s="41" t="s">
        <v>294</v>
      </c>
      <c r="B74" s="20">
        <f>33530*1.04*1.12</f>
        <v>39055.744000000006</v>
      </c>
      <c r="C74" s="39"/>
      <c r="D74" s="40"/>
    </row>
    <row r="75" spans="1:4" ht="63" x14ac:dyDescent="0.25">
      <c r="A75" s="50" t="s">
        <v>295</v>
      </c>
      <c r="B75" s="32">
        <f>SUM(B76:B76)</f>
        <v>99906.060800000007</v>
      </c>
      <c r="C75" s="39"/>
      <c r="D75" s="40"/>
    </row>
    <row r="76" spans="1:4" x14ac:dyDescent="0.25">
      <c r="A76" s="41" t="s">
        <v>296</v>
      </c>
      <c r="B76" s="20">
        <f>85771*1.04*1.12</f>
        <v>99906.060800000007</v>
      </c>
      <c r="C76" s="39"/>
      <c r="D76" s="40"/>
    </row>
    <row r="77" spans="1:4" s="8" customFormat="1" x14ac:dyDescent="0.25">
      <c r="A77" s="49" t="s">
        <v>297</v>
      </c>
      <c r="B77" s="32">
        <f>SUM(B78:B81)</f>
        <v>65202.55</v>
      </c>
      <c r="C77" s="39"/>
      <c r="D77" s="40"/>
    </row>
    <row r="78" spans="1:4" x14ac:dyDescent="0.25">
      <c r="A78" s="51" t="s">
        <v>298</v>
      </c>
      <c r="B78" s="20">
        <v>50124</v>
      </c>
      <c r="C78" s="39"/>
      <c r="D78" s="40"/>
    </row>
    <row r="79" spans="1:4" hidden="1" x14ac:dyDescent="0.25">
      <c r="A79" s="51" t="s">
        <v>299</v>
      </c>
      <c r="B79" s="23">
        <f>(B26/1.2)*30%</f>
        <v>0</v>
      </c>
      <c r="C79" s="39"/>
      <c r="D79" s="40"/>
    </row>
    <row r="80" spans="1:4" x14ac:dyDescent="0.25">
      <c r="A80" s="52" t="s">
        <v>300</v>
      </c>
      <c r="B80" s="20">
        <f>6192.72+4323.83</f>
        <v>10516.55</v>
      </c>
      <c r="C80" s="39"/>
      <c r="D80" s="40"/>
    </row>
    <row r="81" spans="1:4" x14ac:dyDescent="0.25">
      <c r="A81" s="52" t="s">
        <v>301</v>
      </c>
      <c r="B81" s="20">
        <f>4562</f>
        <v>4562</v>
      </c>
      <c r="C81" s="39"/>
      <c r="D81" s="40"/>
    </row>
    <row r="82" spans="1:4" x14ac:dyDescent="0.25">
      <c r="A82" s="53" t="s">
        <v>302</v>
      </c>
      <c r="B82" s="25">
        <f>B32+B42+B46+B66+B75+B77</f>
        <v>695654.08319999999</v>
      </c>
      <c r="C82" s="39"/>
      <c r="D82" s="40"/>
    </row>
    <row r="83" spans="1:4" x14ac:dyDescent="0.25">
      <c r="A83" s="54" t="s">
        <v>303</v>
      </c>
      <c r="B83" s="20">
        <f>B82*0.03</f>
        <v>20869.622496</v>
      </c>
      <c r="C83" s="39"/>
      <c r="D83" s="40"/>
    </row>
    <row r="84" spans="1:4" s="34" customFormat="1" x14ac:dyDescent="0.25">
      <c r="A84" s="55" t="s">
        <v>304</v>
      </c>
      <c r="B84" s="32">
        <f>B82+B83</f>
        <v>716523.70569600002</v>
      </c>
      <c r="C84" s="39"/>
      <c r="D84" s="40"/>
    </row>
    <row r="85" spans="1:4" ht="16.5" thickBot="1" x14ac:dyDescent="0.3">
      <c r="A85" s="56" t="s">
        <v>305</v>
      </c>
      <c r="B85" s="57">
        <f>B84*0.2</f>
        <v>143304.74113920002</v>
      </c>
      <c r="C85" s="39"/>
      <c r="D85" s="40"/>
    </row>
    <row r="86" spans="1:4" s="8" customFormat="1" ht="16.5" thickBot="1" x14ac:dyDescent="0.3">
      <c r="A86" s="58" t="s">
        <v>306</v>
      </c>
      <c r="B86" s="59">
        <f>B84+B85</f>
        <v>859828.44683520007</v>
      </c>
      <c r="C86" s="60"/>
      <c r="D86" s="61"/>
    </row>
    <row r="87" spans="1:4" s="8" customFormat="1" ht="16.5" thickBot="1" x14ac:dyDescent="0.3">
      <c r="A87" s="62" t="s">
        <v>307</v>
      </c>
      <c r="B87" s="296">
        <f>B10+B24+B26+B28+B29-B86</f>
        <v>-2068155.0568351999</v>
      </c>
      <c r="C87" s="63"/>
      <c r="D87" s="63"/>
    </row>
    <row r="88" spans="1:4" s="8" customFormat="1" ht="16.5" thickBot="1" x14ac:dyDescent="0.3">
      <c r="A88" s="64" t="s">
        <v>308</v>
      </c>
      <c r="B88" s="59">
        <f>B10+B25+B27++B28+B29-B86</f>
        <v>-2092708.1568352</v>
      </c>
      <c r="C88" s="63"/>
      <c r="D88" s="63"/>
    </row>
    <row r="89" spans="1:4" s="8" customFormat="1" ht="16.5" hidden="1" thickBot="1" x14ac:dyDescent="0.3">
      <c r="A89" s="65" t="s">
        <v>309</v>
      </c>
      <c r="B89" s="66">
        <f>B11+B24-B25</f>
        <v>24553.100000000035</v>
      </c>
      <c r="C89" s="63"/>
      <c r="D89" s="63"/>
    </row>
    <row r="90" spans="1:4" s="8" customFormat="1" x14ac:dyDescent="0.25">
      <c r="A90" s="67"/>
      <c r="B90" s="68"/>
      <c r="C90" s="63"/>
      <c r="D90" s="63"/>
    </row>
    <row r="91" spans="1:4" x14ac:dyDescent="0.25">
      <c r="A91" s="69"/>
    </row>
    <row r="92" spans="1:4" x14ac:dyDescent="0.25">
      <c r="A92" s="309" t="s">
        <v>310</v>
      </c>
      <c r="B92" s="310"/>
    </row>
    <row r="93" spans="1:4" x14ac:dyDescent="0.25">
      <c r="A93" s="69"/>
      <c r="B93" s="71"/>
    </row>
    <row r="94" spans="1:4" x14ac:dyDescent="0.25">
      <c r="A94" s="311"/>
      <c r="B94" s="312"/>
      <c r="C94" s="72"/>
    </row>
  </sheetData>
  <autoFilter ref="A32:B89" xr:uid="{00000000-0009-0000-0000-000017000000}">
    <filterColumn colId="1">
      <filters>
        <filter val="1 970,10"/>
        <filter val="10 024,63"/>
        <filter val="13 725,99"/>
        <filter val="137 177,30"/>
        <filter val="14 102,74"/>
        <filter val="18 085,24"/>
        <filter val="19 246,72"/>
        <filter val="2 563,28"/>
        <filter val="21 650,79"/>
        <filter val="22 820,68"/>
        <filter val="29 874,03"/>
        <filter val="3 088,94"/>
        <filter val="3 879,63"/>
        <filter val="31 105,59"/>
        <filter val="31 719,82"/>
        <filter val="4 722,61"/>
        <filter val="40 988,74"/>
        <filter val="45 387,42"/>
        <filter val="457 533,06"/>
        <filter val="461,00"/>
        <filter val="471 259,05"/>
        <filter val="5 878,67"/>
        <filter val="5 905,12"/>
        <filter val="50 947,95"/>
        <filter val="565 510,86"/>
        <filter val="6 179,98"/>
        <filter val="67 205,15"/>
        <filter val="7 519,14"/>
        <filter val="726,66"/>
        <filter val="78 736,88"/>
        <filter val="82 471,69"/>
        <filter val="9 731,52"/>
        <filter val="-920 494,13"/>
        <filter val="-938 579,37"/>
        <filter val="94 251,81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9055118110236221" right="0.9055118110236221" top="0.74803149606299213" bottom="0.74803149606299213" header="0.31496062992125984" footer="0.31496062992125984"/>
  <pageSetup paperSize="9" scale="71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filterMode="1">
    <pageSetUpPr fitToPage="1"/>
  </sheetPr>
  <dimension ref="A1:G96"/>
  <sheetViews>
    <sheetView view="pageBreakPreview" topLeftCell="A31" zoomScale="70" zoomScaleNormal="100" zoomScaleSheetLayoutView="70" workbookViewId="0">
      <selection activeCell="B62" sqref="B62"/>
    </sheetView>
  </sheetViews>
  <sheetFormatPr defaultRowHeight="15.75" x14ac:dyDescent="0.25"/>
  <cols>
    <col min="1" max="1" width="96.42578125" style="3" customWidth="1"/>
    <col min="2" max="2" width="15" style="3" customWidth="1"/>
    <col min="3" max="4" width="13.85546875" style="3" customWidth="1"/>
    <col min="5" max="5" width="14.140625" style="3" customWidth="1"/>
    <col min="6" max="6" width="11.140625" style="3" customWidth="1"/>
    <col min="7" max="7" width="12.42578125" style="3" bestFit="1" customWidth="1"/>
    <col min="8" max="16384" width="9.140625" style="3"/>
  </cols>
  <sheetData>
    <row r="1" spans="1:4" ht="16.5" customHeight="1" x14ac:dyDescent="0.25">
      <c r="A1" s="313" t="s">
        <v>224</v>
      </c>
      <c r="B1" s="313"/>
    </row>
    <row r="2" spans="1:4" ht="16.5" x14ac:dyDescent="0.25">
      <c r="A2" s="315" t="s">
        <v>225</v>
      </c>
      <c r="B2" s="315"/>
    </row>
    <row r="3" spans="1:4" ht="16.5" x14ac:dyDescent="0.25">
      <c r="A3" s="315" t="s">
        <v>226</v>
      </c>
      <c r="B3" s="315"/>
    </row>
    <row r="4" spans="1:4" x14ac:dyDescent="0.25">
      <c r="A4" s="4" t="s">
        <v>516</v>
      </c>
      <c r="B4" s="4"/>
    </row>
    <row r="5" spans="1:4" x14ac:dyDescent="0.25">
      <c r="A5" s="4" t="s">
        <v>92</v>
      </c>
      <c r="B5" s="4"/>
    </row>
    <row r="6" spans="1:4" ht="5.25" customHeight="1" x14ac:dyDescent="0.25">
      <c r="A6" s="4"/>
      <c r="B6" s="8"/>
      <c r="C6" s="8"/>
    </row>
    <row r="7" spans="1:4" ht="16.5" thickBot="1" x14ac:dyDescent="0.3">
      <c r="A7" s="9"/>
      <c r="B7" s="8"/>
      <c r="C7" s="8"/>
    </row>
    <row r="8" spans="1:4" ht="15.75" customHeight="1" x14ac:dyDescent="0.25">
      <c r="A8" s="335" t="s">
        <v>227</v>
      </c>
      <c r="B8" s="337" t="s">
        <v>228</v>
      </c>
      <c r="C8" s="307" t="s">
        <v>229</v>
      </c>
      <c r="D8" s="307" t="s">
        <v>230</v>
      </c>
    </row>
    <row r="9" spans="1:4" ht="28.5" customHeight="1" thickBot="1" x14ac:dyDescent="0.3">
      <c r="A9" s="336"/>
      <c r="B9" s="338"/>
      <c r="C9" s="308"/>
      <c r="D9" s="308"/>
    </row>
    <row r="10" spans="1:4" s="212" customFormat="1" ht="16.5" thickBot="1" x14ac:dyDescent="0.3">
      <c r="A10" s="209" t="s">
        <v>231</v>
      </c>
      <c r="B10" s="302">
        <f>VLOOKUP(A5,мкд!S:T,2,FALSE)</f>
        <v>-1380563.25</v>
      </c>
      <c r="C10" s="211"/>
      <c r="D10" s="211"/>
    </row>
    <row r="11" spans="1:4" s="212" customFormat="1" ht="16.5" hidden="1" thickBot="1" x14ac:dyDescent="0.3">
      <c r="A11" s="213" t="s">
        <v>232</v>
      </c>
      <c r="B11" s="214"/>
      <c r="C11" s="215"/>
      <c r="D11" s="215"/>
    </row>
    <row r="12" spans="1:4" x14ac:dyDescent="0.25">
      <c r="A12" s="216" t="s">
        <v>233</v>
      </c>
      <c r="B12" s="217"/>
      <c r="C12" s="17" t="s">
        <v>234</v>
      </c>
      <c r="D12" s="18" t="s">
        <v>234</v>
      </c>
    </row>
    <row r="13" spans="1:4" hidden="1" x14ac:dyDescent="0.25">
      <c r="A13" s="19" t="s">
        <v>235</v>
      </c>
      <c r="B13" s="20">
        <v>2632.2</v>
      </c>
      <c r="C13" s="21" t="s">
        <v>234</v>
      </c>
      <c r="D13" s="22" t="s">
        <v>234</v>
      </c>
    </row>
    <row r="14" spans="1:4" hidden="1" x14ac:dyDescent="0.25">
      <c r="A14" s="19" t="s">
        <v>236</v>
      </c>
      <c r="B14" s="20">
        <v>0</v>
      </c>
      <c r="C14" s="21"/>
      <c r="D14" s="22"/>
    </row>
    <row r="15" spans="1:4" x14ac:dyDescent="0.25">
      <c r="A15" s="219" t="s">
        <v>237</v>
      </c>
      <c r="B15" s="23">
        <f>B13+B14</f>
        <v>2632.2</v>
      </c>
      <c r="C15" s="21"/>
      <c r="D15" s="22"/>
    </row>
    <row r="16" spans="1:4" x14ac:dyDescent="0.25">
      <c r="A16" s="219" t="s">
        <v>238</v>
      </c>
      <c r="B16" s="23">
        <f>794.8+1965.5/3</f>
        <v>1449.9666666666667</v>
      </c>
      <c r="C16" s="21" t="s">
        <v>234</v>
      </c>
      <c r="D16" s="22" t="s">
        <v>234</v>
      </c>
    </row>
    <row r="17" spans="1:7" hidden="1" x14ac:dyDescent="0.25">
      <c r="A17" s="19" t="s">
        <v>239</v>
      </c>
      <c r="B17" s="20">
        <v>0</v>
      </c>
      <c r="C17" s="21" t="s">
        <v>234</v>
      </c>
      <c r="D17" s="22" t="s">
        <v>234</v>
      </c>
    </row>
    <row r="18" spans="1:7" hidden="1" x14ac:dyDescent="0.25">
      <c r="A18" s="19" t="s">
        <v>240</v>
      </c>
      <c r="B18" s="20">
        <v>612.9</v>
      </c>
      <c r="C18" s="21" t="s">
        <v>234</v>
      </c>
      <c r="D18" s="22" t="s">
        <v>234</v>
      </c>
    </row>
    <row r="19" spans="1:7" hidden="1" x14ac:dyDescent="0.25">
      <c r="A19" s="19" t="s">
        <v>241</v>
      </c>
      <c r="B19" s="20">
        <v>0</v>
      </c>
      <c r="C19" s="21" t="s">
        <v>234</v>
      </c>
      <c r="D19" s="22" t="s">
        <v>234</v>
      </c>
    </row>
    <row r="20" spans="1:7" hidden="1" x14ac:dyDescent="0.25">
      <c r="A20" s="19" t="s">
        <v>242</v>
      </c>
      <c r="B20" s="20">
        <v>883.2</v>
      </c>
      <c r="C20" s="21"/>
      <c r="D20" s="22"/>
    </row>
    <row r="21" spans="1:7" hidden="1" x14ac:dyDescent="0.25">
      <c r="A21" s="19" t="s">
        <v>243</v>
      </c>
      <c r="B21" s="20">
        <v>0</v>
      </c>
      <c r="C21" s="21" t="s">
        <v>234</v>
      </c>
      <c r="D21" s="22" t="s">
        <v>234</v>
      </c>
    </row>
    <row r="22" spans="1:7" hidden="1" x14ac:dyDescent="0.25">
      <c r="A22" s="19" t="s">
        <v>244</v>
      </c>
      <c r="B22" s="20">
        <v>153</v>
      </c>
      <c r="C22" s="21"/>
      <c r="D22" s="22"/>
    </row>
    <row r="23" spans="1:7" x14ac:dyDescent="0.25">
      <c r="A23" s="219"/>
      <c r="B23" s="23"/>
      <c r="C23" s="21"/>
      <c r="D23" s="22"/>
      <c r="E23" s="3">
        <v>10</v>
      </c>
      <c r="F23" s="3">
        <v>2</v>
      </c>
    </row>
    <row r="24" spans="1:7" x14ac:dyDescent="0.25">
      <c r="A24" s="220" t="s">
        <v>319</v>
      </c>
      <c r="B24" s="28">
        <f>VLOOKUP(A5,'[5]Лист  1'!M$1:N$65536,2,FALSE)</f>
        <v>454862.33999999997</v>
      </c>
      <c r="C24" s="21"/>
      <c r="D24" s="22"/>
      <c r="E24" s="26">
        <v>14.120000000000001</v>
      </c>
      <c r="F24" s="256">
        <v>15.805928</v>
      </c>
    </row>
    <row r="25" spans="1:7" x14ac:dyDescent="0.25">
      <c r="A25" s="220" t="s">
        <v>320</v>
      </c>
      <c r="B25" s="28">
        <f>VLOOKUP(A5,'[5]Лист  1'!M$1:O$65536,3,FALSE)</f>
        <v>435569.64</v>
      </c>
      <c r="C25" s="21"/>
      <c r="D25" s="22"/>
    </row>
    <row r="26" spans="1:7" hidden="1" x14ac:dyDescent="0.25">
      <c r="A26" s="220" t="s">
        <v>321</v>
      </c>
      <c r="B26" s="28"/>
      <c r="C26" s="21"/>
      <c r="D26" s="22"/>
    </row>
    <row r="27" spans="1:7" hidden="1" x14ac:dyDescent="0.25">
      <c r="A27" s="220" t="s">
        <v>248</v>
      </c>
      <c r="B27" s="28">
        <f>B26</f>
        <v>0</v>
      </c>
      <c r="C27" s="21"/>
      <c r="D27" s="22"/>
    </row>
    <row r="28" spans="1:7" x14ac:dyDescent="0.25">
      <c r="A28" s="220" t="s">
        <v>399</v>
      </c>
      <c r="B28" s="28">
        <v>9289.92</v>
      </c>
      <c r="C28" s="21"/>
      <c r="D28" s="22"/>
    </row>
    <row r="29" spans="1:7" hidden="1" x14ac:dyDescent="0.25">
      <c r="A29" s="220" t="s">
        <v>250</v>
      </c>
      <c r="B29" s="23"/>
      <c r="C29" s="21"/>
      <c r="D29" s="22"/>
    </row>
    <row r="30" spans="1:7" x14ac:dyDescent="0.25">
      <c r="A30" s="221"/>
      <c r="B30" s="23"/>
      <c r="C30" s="21"/>
      <c r="D30" s="22"/>
    </row>
    <row r="31" spans="1:7" x14ac:dyDescent="0.25">
      <c r="A31" s="222" t="s">
        <v>251</v>
      </c>
      <c r="B31" s="23"/>
      <c r="C31" s="21"/>
      <c r="D31" s="22"/>
    </row>
    <row r="32" spans="1:7" s="34" customFormat="1" ht="31.5" x14ac:dyDescent="0.25">
      <c r="A32" s="223" t="s">
        <v>252</v>
      </c>
      <c r="B32" s="208">
        <f>SUM(B33:B37)</f>
        <v>279481.08999999997</v>
      </c>
      <c r="C32" s="21"/>
      <c r="D32" s="22"/>
      <c r="E32" s="33">
        <f>(B82-B24-B26)/1.2/1.03</f>
        <v>346646.05324478023</v>
      </c>
      <c r="F32" s="33" t="e">
        <f>(#REF!-#REF!-#REF!)/1.2/1.03</f>
        <v>#REF!</v>
      </c>
      <c r="G32" s="33" t="e">
        <f>(#REF!-#REF!-#REF!)/1.2/1.03</f>
        <v>#REF!</v>
      </c>
    </row>
    <row r="33" spans="1:7" x14ac:dyDescent="0.25">
      <c r="A33" s="224" t="s">
        <v>253</v>
      </c>
      <c r="B33" s="23">
        <v>49522.84</v>
      </c>
      <c r="C33" s="21"/>
      <c r="D33" s="22">
        <v>34682.71</v>
      </c>
    </row>
    <row r="34" spans="1:7" x14ac:dyDescent="0.25">
      <c r="A34" s="224" t="s">
        <v>255</v>
      </c>
      <c r="B34" s="23">
        <v>46430.87</v>
      </c>
      <c r="C34" s="21"/>
      <c r="D34" s="22">
        <v>0</v>
      </c>
    </row>
    <row r="35" spans="1:7" x14ac:dyDescent="0.25">
      <c r="A35" s="224" t="s">
        <v>257</v>
      </c>
      <c r="B35" s="23">
        <v>9643.01</v>
      </c>
      <c r="C35" s="21"/>
      <c r="D35" s="22"/>
    </row>
    <row r="36" spans="1:7" x14ac:dyDescent="0.25">
      <c r="A36" s="224" t="s">
        <v>511</v>
      </c>
      <c r="B36" s="23">
        <v>106269.14</v>
      </c>
      <c r="C36" s="21"/>
      <c r="D36" s="22"/>
    </row>
    <row r="37" spans="1:7" x14ac:dyDescent="0.25">
      <c r="A37" s="257" t="s">
        <v>342</v>
      </c>
      <c r="B37" s="23">
        <v>67615.23</v>
      </c>
      <c r="C37" s="21"/>
      <c r="D37" s="22">
        <v>0</v>
      </c>
    </row>
    <row r="38" spans="1:7" s="34" customFormat="1" ht="47.25" x14ac:dyDescent="0.25">
      <c r="A38" s="223" t="s">
        <v>401</v>
      </c>
      <c r="B38" s="208">
        <f>SUM(B39:B41)</f>
        <v>52642.688629382203</v>
      </c>
      <c r="C38" s="21"/>
      <c r="D38" s="22"/>
      <c r="E38" s="33"/>
      <c r="F38" s="33"/>
      <c r="G38" s="33"/>
    </row>
    <row r="39" spans="1:7" x14ac:dyDescent="0.25">
      <c r="A39" s="225" t="s">
        <v>262</v>
      </c>
      <c r="B39" s="20">
        <v>38554.880000000005</v>
      </c>
      <c r="C39" s="39"/>
      <c r="D39" s="40"/>
    </row>
    <row r="40" spans="1:7" hidden="1" x14ac:dyDescent="0.25">
      <c r="A40" s="224" t="s">
        <v>263</v>
      </c>
      <c r="B40" s="23"/>
      <c r="C40" s="39"/>
      <c r="D40" s="40"/>
    </row>
    <row r="41" spans="1:7" x14ac:dyDescent="0.25">
      <c r="A41" s="163" t="s">
        <v>264</v>
      </c>
      <c r="B41" s="20">
        <f>'[6]32тарифы'!D163*B15+109.61*1.12</f>
        <v>14087.808629382194</v>
      </c>
      <c r="C41" s="39"/>
      <c r="D41" s="40"/>
    </row>
    <row r="42" spans="1:7" s="8" customFormat="1" x14ac:dyDescent="0.25">
      <c r="A42" s="186" t="s">
        <v>265</v>
      </c>
      <c r="B42" s="32">
        <f>SUM(B43:B61)</f>
        <v>43444.56</v>
      </c>
      <c r="C42" s="21"/>
      <c r="D42" s="22"/>
    </row>
    <row r="43" spans="1:7" x14ac:dyDescent="0.25">
      <c r="A43" s="35" t="s">
        <v>326</v>
      </c>
      <c r="B43" s="23">
        <v>2574.2399999999998</v>
      </c>
      <c r="C43" s="21"/>
      <c r="D43" s="22"/>
      <c r="E43" s="3" t="s">
        <v>267</v>
      </c>
    </row>
    <row r="44" spans="1:7" x14ac:dyDescent="0.25">
      <c r="A44" s="224" t="s">
        <v>317</v>
      </c>
      <c r="B44" s="23">
        <v>3125.82</v>
      </c>
      <c r="C44" s="21"/>
      <c r="D44" s="22"/>
      <c r="E44" s="3" t="s">
        <v>269</v>
      </c>
    </row>
    <row r="45" spans="1:7" hidden="1" x14ac:dyDescent="0.25">
      <c r="A45" s="143" t="s">
        <v>270</v>
      </c>
      <c r="B45" s="23">
        <v>0</v>
      </c>
      <c r="C45" s="21"/>
      <c r="D45" s="22"/>
    </row>
    <row r="46" spans="1:7" hidden="1" x14ac:dyDescent="0.25">
      <c r="A46" s="143" t="s">
        <v>271</v>
      </c>
      <c r="B46" s="23">
        <v>0</v>
      </c>
      <c r="C46" s="21"/>
      <c r="D46" s="22"/>
    </row>
    <row r="47" spans="1:7" hidden="1" x14ac:dyDescent="0.25">
      <c r="A47" s="42" t="s">
        <v>272</v>
      </c>
      <c r="B47" s="23">
        <v>0</v>
      </c>
      <c r="C47" s="21"/>
      <c r="D47" s="22"/>
    </row>
    <row r="48" spans="1:7" hidden="1" x14ac:dyDescent="0.25">
      <c r="A48" s="42" t="s">
        <v>273</v>
      </c>
      <c r="B48" s="23">
        <f>B21*'[6]32тарифы'!D177</f>
        <v>0</v>
      </c>
      <c r="C48" s="21"/>
      <c r="D48" s="22">
        <v>105.14</v>
      </c>
    </row>
    <row r="49" spans="1:5" hidden="1" x14ac:dyDescent="0.25">
      <c r="A49" s="42" t="s">
        <v>274</v>
      </c>
      <c r="B49" s="23">
        <v>0</v>
      </c>
      <c r="C49" s="21">
        <v>0</v>
      </c>
      <c r="D49" s="22">
        <v>522.99</v>
      </c>
    </row>
    <row r="50" spans="1:5" hidden="1" x14ac:dyDescent="0.25">
      <c r="A50" s="42" t="s">
        <v>275</v>
      </c>
      <c r="B50" s="23">
        <v>0</v>
      </c>
      <c r="C50" s="21">
        <v>0</v>
      </c>
      <c r="D50" s="44">
        <v>695.13</v>
      </c>
    </row>
    <row r="51" spans="1:5" hidden="1" x14ac:dyDescent="0.25">
      <c r="A51" s="143" t="s">
        <v>276</v>
      </c>
      <c r="B51" s="23">
        <v>0</v>
      </c>
      <c r="C51" s="21"/>
      <c r="D51" s="44"/>
    </row>
    <row r="52" spans="1:5" hidden="1" x14ac:dyDescent="0.25">
      <c r="A52" s="143" t="s">
        <v>277</v>
      </c>
      <c r="B52" s="105">
        <v>0</v>
      </c>
      <c r="C52" s="21">
        <v>0</v>
      </c>
      <c r="D52" s="22">
        <f>10695.76/1.18</f>
        <v>9064.203389830509</v>
      </c>
    </row>
    <row r="53" spans="1:5" hidden="1" x14ac:dyDescent="0.25">
      <c r="A53" s="143" t="s">
        <v>314</v>
      </c>
      <c r="B53" s="23">
        <v>0</v>
      </c>
      <c r="C53" s="21">
        <v>0</v>
      </c>
      <c r="D53" s="22">
        <f>2300/1.18</f>
        <v>1949.1525423728815</v>
      </c>
    </row>
    <row r="54" spans="1:5" hidden="1" x14ac:dyDescent="0.25">
      <c r="A54" s="143" t="s">
        <v>282</v>
      </c>
      <c r="B54" s="23"/>
      <c r="C54" s="21">
        <v>0</v>
      </c>
      <c r="D54" s="22">
        <v>0</v>
      </c>
    </row>
    <row r="55" spans="1:5" hidden="1" x14ac:dyDescent="0.25">
      <c r="A55" s="228" t="s">
        <v>279</v>
      </c>
      <c r="B55" s="20">
        <f>B13*'[6]32тарифы'!D184</f>
        <v>0</v>
      </c>
      <c r="C55" s="21"/>
      <c r="D55" s="22"/>
      <c r="E55" s="227">
        <f>B76+B42-B55+965.22</f>
        <v>52422.659999999996</v>
      </c>
    </row>
    <row r="56" spans="1:5" hidden="1" x14ac:dyDescent="0.25">
      <c r="A56" s="224" t="s">
        <v>280</v>
      </c>
      <c r="B56" s="105">
        <v>0</v>
      </c>
      <c r="C56" s="21"/>
      <c r="D56" s="22"/>
    </row>
    <row r="57" spans="1:5" x14ac:dyDescent="0.25">
      <c r="A57" s="35" t="s">
        <v>540</v>
      </c>
      <c r="B57" s="23">
        <v>11530.43</v>
      </c>
      <c r="C57" s="21"/>
      <c r="D57" s="22">
        <v>0</v>
      </c>
    </row>
    <row r="58" spans="1:5" ht="15.75" customHeight="1" x14ac:dyDescent="0.25">
      <c r="A58" s="35" t="s">
        <v>282</v>
      </c>
      <c r="B58" s="23">
        <v>607.35</v>
      </c>
      <c r="C58" s="21"/>
      <c r="D58" s="22">
        <v>0</v>
      </c>
    </row>
    <row r="59" spans="1:5" x14ac:dyDescent="0.25">
      <c r="A59" s="35" t="s">
        <v>510</v>
      </c>
      <c r="B59" s="229">
        <f>5875.6+19731.12</f>
        <v>25606.720000000001</v>
      </c>
      <c r="C59" s="46">
        <v>1</v>
      </c>
      <c r="D59" s="22">
        <v>0</v>
      </c>
    </row>
    <row r="60" spans="1:5" hidden="1" x14ac:dyDescent="0.25">
      <c r="A60" s="35" t="s">
        <v>284</v>
      </c>
      <c r="B60" s="229">
        <v>0</v>
      </c>
      <c r="C60" s="46">
        <v>60</v>
      </c>
      <c r="D60" s="22">
        <v>2</v>
      </c>
      <c r="E60" s="3">
        <v>1</v>
      </c>
    </row>
    <row r="61" spans="1:5" hidden="1" x14ac:dyDescent="0.25">
      <c r="A61" s="35" t="s">
        <v>285</v>
      </c>
      <c r="B61" s="229">
        <v>0</v>
      </c>
      <c r="C61" s="48">
        <v>60</v>
      </c>
      <c r="D61" s="40">
        <f>650/1.18</f>
        <v>550.84745762711873</v>
      </c>
    </row>
    <row r="62" spans="1:5" s="8" customFormat="1" x14ac:dyDescent="0.25">
      <c r="A62" s="189" t="s">
        <v>286</v>
      </c>
      <c r="B62" s="32">
        <f>SUM(B63:B70)</f>
        <v>173285.03893278801</v>
      </c>
      <c r="C62" s="39"/>
      <c r="D62" s="40"/>
    </row>
    <row r="63" spans="1:5" hidden="1" x14ac:dyDescent="0.25">
      <c r="A63" s="35" t="s">
        <v>287</v>
      </c>
      <c r="B63" s="23">
        <v>0</v>
      </c>
      <c r="C63" s="39"/>
      <c r="D63" s="40"/>
    </row>
    <row r="64" spans="1:5" x14ac:dyDescent="0.25">
      <c r="A64" s="225" t="s">
        <v>288</v>
      </c>
      <c r="B64" s="20">
        <f>85641*1.04*1.12</f>
        <v>99754.636800000007</v>
      </c>
      <c r="C64" s="39"/>
      <c r="D64" s="40"/>
    </row>
    <row r="65" spans="1:4" hidden="1" x14ac:dyDescent="0.25">
      <c r="A65" s="224" t="s">
        <v>289</v>
      </c>
      <c r="B65" s="23">
        <v>0</v>
      </c>
      <c r="C65" s="39"/>
      <c r="D65" s="40"/>
    </row>
    <row r="66" spans="1:4" x14ac:dyDescent="0.25">
      <c r="A66" s="163" t="s">
        <v>290</v>
      </c>
      <c r="B66" s="20">
        <f>'[6]32тарифы'!D164*B13*1.12</f>
        <v>3250.1583791354346</v>
      </c>
      <c r="C66" s="39"/>
      <c r="D66" s="40"/>
    </row>
    <row r="67" spans="1:4" x14ac:dyDescent="0.25">
      <c r="A67" s="163" t="s">
        <v>291</v>
      </c>
      <c r="B67" s="20">
        <f>'[6]32тарифы'!D165*B15*1.12</f>
        <v>16833.112123767976</v>
      </c>
      <c r="C67" s="39"/>
      <c r="D67" s="40"/>
    </row>
    <row r="68" spans="1:4" x14ac:dyDescent="0.25">
      <c r="A68" s="226" t="s">
        <v>292</v>
      </c>
      <c r="B68" s="23">
        <f>26884*1.1194</f>
        <v>30093.9496</v>
      </c>
      <c r="C68" s="39"/>
      <c r="D68" s="40"/>
    </row>
    <row r="69" spans="1:4" x14ac:dyDescent="0.25">
      <c r="A69" s="163" t="s">
        <v>293</v>
      </c>
      <c r="B69" s="20">
        <f>4561*1.04*1.12</f>
        <v>5312.6528000000008</v>
      </c>
      <c r="C69" s="39"/>
      <c r="D69" s="40"/>
    </row>
    <row r="70" spans="1:4" x14ac:dyDescent="0.25">
      <c r="A70" s="226" t="s">
        <v>294</v>
      </c>
      <c r="B70" s="232">
        <f>('[6]32тарифы'!D167*B15)+('[6]32тарифы'!D187*B15)*1.12</f>
        <v>18040.529229884582</v>
      </c>
      <c r="C70" s="39"/>
      <c r="D70" s="40"/>
    </row>
    <row r="71" spans="1:4" ht="63" x14ac:dyDescent="0.25">
      <c r="A71" s="190" t="s">
        <v>295</v>
      </c>
      <c r="B71" s="32">
        <f>SUM(B72:B72)</f>
        <v>88480.000000000015</v>
      </c>
      <c r="C71" s="39"/>
      <c r="D71" s="40"/>
    </row>
    <row r="72" spans="1:4" x14ac:dyDescent="0.25">
      <c r="A72" s="226" t="s">
        <v>296</v>
      </c>
      <c r="B72" s="23">
        <f>79000*1.12</f>
        <v>88480.000000000015</v>
      </c>
      <c r="C72" s="39"/>
      <c r="D72" s="40"/>
    </row>
    <row r="73" spans="1:4" s="8" customFormat="1" x14ac:dyDescent="0.25">
      <c r="A73" s="230" t="s">
        <v>297</v>
      </c>
      <c r="B73" s="208">
        <f>SUM(B74:B77)</f>
        <v>77324.277624357594</v>
      </c>
      <c r="C73" s="39"/>
      <c r="D73" s="40"/>
    </row>
    <row r="74" spans="1:4" x14ac:dyDescent="0.25">
      <c r="A74" s="234" t="s">
        <v>298</v>
      </c>
      <c r="B74" s="23">
        <f>'[6]32тарифы'!D170*B15*1.12</f>
        <v>63525.295644990409</v>
      </c>
      <c r="C74" s="39"/>
      <c r="D74" s="40"/>
    </row>
    <row r="75" spans="1:4" hidden="1" x14ac:dyDescent="0.25">
      <c r="A75" s="234" t="s">
        <v>299</v>
      </c>
      <c r="B75" s="23">
        <f>(B26/1.2)*30%</f>
        <v>0</v>
      </c>
      <c r="C75" s="39"/>
      <c r="D75" s="40"/>
    </row>
    <row r="76" spans="1:4" x14ac:dyDescent="0.25">
      <c r="A76" s="235" t="s">
        <v>300</v>
      </c>
      <c r="B76" s="23">
        <f>8012.88</f>
        <v>8012.88</v>
      </c>
      <c r="C76" s="39"/>
      <c r="D76" s="40"/>
    </row>
    <row r="77" spans="1:4" x14ac:dyDescent="0.25">
      <c r="A77" s="235" t="s">
        <v>301</v>
      </c>
      <c r="B77" s="23">
        <f>'[6]32тарифы'!D173*B13*1.12</f>
        <v>5786.101979367194</v>
      </c>
      <c r="C77" s="39"/>
      <c r="D77" s="40"/>
    </row>
    <row r="78" spans="1:4" x14ac:dyDescent="0.25">
      <c r="A78" s="236" t="s">
        <v>302</v>
      </c>
      <c r="B78" s="28">
        <f>B32+B38+B42+B62+B71+B73</f>
        <v>714657.65518652776</v>
      </c>
      <c r="C78" s="39"/>
      <c r="D78" s="40"/>
    </row>
    <row r="79" spans="1:4" x14ac:dyDescent="0.25">
      <c r="A79" s="237" t="s">
        <v>303</v>
      </c>
      <c r="B79" s="23">
        <f>B78*0.03</f>
        <v>21439.729655595831</v>
      </c>
      <c r="C79" s="39"/>
      <c r="D79" s="40"/>
    </row>
    <row r="80" spans="1:4" s="34" customFormat="1" x14ac:dyDescent="0.25">
      <c r="A80" s="238" t="s">
        <v>304</v>
      </c>
      <c r="B80" s="208">
        <f>B78+B79</f>
        <v>736097.3848421236</v>
      </c>
      <c r="C80" s="39"/>
      <c r="D80" s="40"/>
    </row>
    <row r="81" spans="1:4" ht="16.5" thickBot="1" x14ac:dyDescent="0.3">
      <c r="A81" s="239" t="s">
        <v>305</v>
      </c>
      <c r="B81" s="295">
        <f>B80*0.2</f>
        <v>147219.47696842471</v>
      </c>
      <c r="C81" s="39"/>
      <c r="D81" s="40"/>
    </row>
    <row r="82" spans="1:4" s="8" customFormat="1" ht="16.5" thickBot="1" x14ac:dyDescent="0.3">
      <c r="A82" s="62" t="s">
        <v>306</v>
      </c>
      <c r="B82" s="66">
        <f>B80+B81</f>
        <v>883316.86181054835</v>
      </c>
      <c r="C82" s="60"/>
      <c r="D82" s="61"/>
    </row>
    <row r="83" spans="1:4" s="8" customFormat="1" ht="16.5" thickBot="1" x14ac:dyDescent="0.3">
      <c r="A83" s="62" t="s">
        <v>307</v>
      </c>
      <c r="B83" s="66">
        <f>B10+B24+B26+B28+B29-B82</f>
        <v>-1799727.8518105485</v>
      </c>
      <c r="C83" s="63"/>
      <c r="D83" s="63"/>
    </row>
    <row r="84" spans="1:4" s="8" customFormat="1" ht="16.5" thickBot="1" x14ac:dyDescent="0.3">
      <c r="A84" s="64" t="s">
        <v>308</v>
      </c>
      <c r="B84" s="66">
        <f>B10+B25+B27+B28+B29-B82</f>
        <v>-1819020.5518105482</v>
      </c>
      <c r="C84" s="63"/>
      <c r="D84" s="63"/>
    </row>
    <row r="85" spans="1:4" s="8" customFormat="1" hidden="1" x14ac:dyDescent="0.25">
      <c r="A85" s="266" t="s">
        <v>309</v>
      </c>
      <c r="B85" s="267">
        <v>1296.07</v>
      </c>
      <c r="C85" s="63"/>
      <c r="D85" s="63"/>
    </row>
    <row r="86" spans="1:4" x14ac:dyDescent="0.25">
      <c r="B86" s="227"/>
    </row>
    <row r="87" spans="1:4" ht="10.5" customHeight="1" x14ac:dyDescent="0.25">
      <c r="A87" s="69"/>
      <c r="B87" s="297"/>
    </row>
    <row r="88" spans="1:4" x14ac:dyDescent="0.25">
      <c r="A88" s="333" t="s">
        <v>407</v>
      </c>
      <c r="B88" s="333"/>
    </row>
    <row r="89" spans="1:4" x14ac:dyDescent="0.25">
      <c r="A89" s="69"/>
    </row>
    <row r="90" spans="1:4" hidden="1" x14ac:dyDescent="0.25">
      <c r="A90" s="342" t="s">
        <v>408</v>
      </c>
      <c r="B90" s="342"/>
      <c r="C90" s="72"/>
    </row>
    <row r="96" spans="1:4" x14ac:dyDescent="0.25">
      <c r="B96" s="70"/>
    </row>
  </sheetData>
  <autoFilter ref="A31:G85" xr:uid="{00000000-0009-0000-0000-000018000000}">
    <filterColumn colId="1">
      <filters>
        <filter val="1 296,07"/>
        <filter val="-1 377 711,46"/>
        <filter val="-1 397 004,16"/>
        <filter val="106 269,14"/>
        <filter val="14 087,81"/>
        <filter val="143 889,25"/>
        <filter val="16 833,11"/>
        <filter val="173 285,04"/>
        <filter val="18 040,53"/>
        <filter val="19 988,19"/>
        <filter val="2 574,24"/>
        <filter val="20 954,75"/>
        <filter val="25 776,25"/>
        <filter val="279 481,09"/>
        <filter val="3 125,82"/>
        <filter val="3 250,16"/>
        <filter val="30 093,95"/>
        <filter val="38 554,88"/>
        <filter val="46 430,87"/>
        <filter val="49 522,84"/>
        <filter val="5 312,65"/>
        <filter val="5 786,10"/>
        <filter val="52 642,69"/>
        <filter val="63 525,30"/>
        <filter val="67 615,23"/>
        <filter val="698 491,51"/>
        <filter val="719 446,25"/>
        <filter val="78 826,44"/>
        <filter val="863 335,50"/>
        <filter val="88 480,00"/>
        <filter val="88,00"/>
        <filter val="9 515,04"/>
        <filter val="9 643,01"/>
        <filter val="99 754,64"/>
      </filters>
    </filterColumn>
  </autoFilter>
  <mergeCells count="9">
    <mergeCell ref="A90:B90"/>
    <mergeCell ref="C8:C9"/>
    <mergeCell ref="D8:D9"/>
    <mergeCell ref="A1:B1"/>
    <mergeCell ref="A2:B2"/>
    <mergeCell ref="A3:B3"/>
    <mergeCell ref="A8:A9"/>
    <mergeCell ref="B8:B9"/>
    <mergeCell ref="A88:B88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82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filterMode="1">
    <pageSetUpPr fitToPage="1"/>
  </sheetPr>
  <dimension ref="A1:G94"/>
  <sheetViews>
    <sheetView view="pageBreakPreview" topLeftCell="A32" zoomScale="70" zoomScaleNormal="100" zoomScaleSheetLayoutView="70" workbookViewId="0">
      <selection activeCell="B81" sqref="B81"/>
    </sheetView>
  </sheetViews>
  <sheetFormatPr defaultRowHeight="15.75" x14ac:dyDescent="0.25"/>
  <cols>
    <col min="1" max="1" width="96.42578125" style="3" customWidth="1"/>
    <col min="2" max="2" width="15" style="3" customWidth="1"/>
    <col min="3" max="4" width="13.85546875" style="3" customWidth="1"/>
    <col min="5" max="5" width="14.140625" style="3" customWidth="1"/>
    <col min="6" max="6" width="11.140625" style="3" customWidth="1"/>
    <col min="7" max="7" width="12.42578125" style="3" bestFit="1" customWidth="1"/>
    <col min="8" max="16384" width="9.140625" style="3"/>
  </cols>
  <sheetData>
    <row r="1" spans="1:4" ht="16.5" customHeight="1" x14ac:dyDescent="0.25">
      <c r="A1" s="313" t="s">
        <v>224</v>
      </c>
      <c r="B1" s="313"/>
    </row>
    <row r="2" spans="1:4" ht="16.5" x14ac:dyDescent="0.25">
      <c r="A2" s="315" t="s">
        <v>225</v>
      </c>
      <c r="B2" s="315"/>
    </row>
    <row r="3" spans="1:4" ht="16.5" x14ac:dyDescent="0.25">
      <c r="A3" s="315" t="s">
        <v>226</v>
      </c>
      <c r="B3" s="315"/>
    </row>
    <row r="4" spans="1:4" x14ac:dyDescent="0.25">
      <c r="A4" s="4" t="s">
        <v>516</v>
      </c>
      <c r="B4" s="4"/>
    </row>
    <row r="5" spans="1:4" x14ac:dyDescent="0.25">
      <c r="A5" s="4" t="s">
        <v>94</v>
      </c>
      <c r="B5" s="4"/>
    </row>
    <row r="6" spans="1:4" ht="5.25" customHeight="1" x14ac:dyDescent="0.25">
      <c r="A6" s="4"/>
      <c r="B6" s="8"/>
      <c r="C6" s="8"/>
    </row>
    <row r="7" spans="1:4" ht="16.5" thickBot="1" x14ac:dyDescent="0.3">
      <c r="A7" s="9"/>
      <c r="B7" s="8"/>
      <c r="C7" s="8"/>
    </row>
    <row r="8" spans="1:4" ht="15.75" customHeight="1" x14ac:dyDescent="0.25">
      <c r="A8" s="335" t="s">
        <v>227</v>
      </c>
      <c r="B8" s="337" t="s">
        <v>228</v>
      </c>
      <c r="C8" s="307" t="s">
        <v>229</v>
      </c>
      <c r="D8" s="307" t="s">
        <v>230</v>
      </c>
    </row>
    <row r="9" spans="1:4" ht="28.5" customHeight="1" thickBot="1" x14ac:dyDescent="0.3">
      <c r="A9" s="336"/>
      <c r="B9" s="338"/>
      <c r="C9" s="308"/>
      <c r="D9" s="308"/>
    </row>
    <row r="10" spans="1:4" s="212" customFormat="1" ht="16.5" thickBot="1" x14ac:dyDescent="0.3">
      <c r="A10" s="209" t="s">
        <v>231</v>
      </c>
      <c r="B10" s="302">
        <f>VLOOKUP(A5,мкд!S:T,2,FALSE)</f>
        <v>-268861.08</v>
      </c>
      <c r="C10" s="211"/>
      <c r="D10" s="211"/>
    </row>
    <row r="11" spans="1:4" s="212" customFormat="1" ht="16.5" hidden="1" thickBot="1" x14ac:dyDescent="0.3">
      <c r="A11" s="213" t="s">
        <v>232</v>
      </c>
      <c r="B11" s="214"/>
      <c r="C11" s="215"/>
      <c r="D11" s="215"/>
    </row>
    <row r="12" spans="1:4" x14ac:dyDescent="0.25">
      <c r="A12" s="216" t="s">
        <v>233</v>
      </c>
      <c r="B12" s="217"/>
      <c r="C12" s="17" t="s">
        <v>234</v>
      </c>
      <c r="D12" s="18" t="s">
        <v>234</v>
      </c>
    </row>
    <row r="13" spans="1:4" hidden="1" x14ac:dyDescent="0.25">
      <c r="A13" s="19" t="s">
        <v>235</v>
      </c>
      <c r="B13" s="20">
        <v>2650.5</v>
      </c>
      <c r="C13" s="21" t="s">
        <v>234</v>
      </c>
      <c r="D13" s="22" t="s">
        <v>234</v>
      </c>
    </row>
    <row r="14" spans="1:4" hidden="1" x14ac:dyDescent="0.25">
      <c r="A14" s="19" t="s">
        <v>236</v>
      </c>
      <c r="B14" s="23">
        <v>0</v>
      </c>
      <c r="C14" s="21"/>
      <c r="D14" s="22"/>
    </row>
    <row r="15" spans="1:4" x14ac:dyDescent="0.25">
      <c r="A15" s="219" t="s">
        <v>237</v>
      </c>
      <c r="B15" s="23">
        <f>B13+B14</f>
        <v>2650.5</v>
      </c>
      <c r="C15" s="21"/>
      <c r="D15" s="22"/>
    </row>
    <row r="16" spans="1:4" x14ac:dyDescent="0.25">
      <c r="A16" s="219" t="s">
        <v>238</v>
      </c>
      <c r="B16" s="23">
        <f>1014.7+1575.6/3</f>
        <v>1539.9</v>
      </c>
      <c r="C16" s="21" t="s">
        <v>234</v>
      </c>
      <c r="D16" s="22" t="s">
        <v>234</v>
      </c>
    </row>
    <row r="17" spans="1:7" hidden="1" x14ac:dyDescent="0.25">
      <c r="A17" s="19" t="s">
        <v>239</v>
      </c>
      <c r="B17" s="23">
        <v>0</v>
      </c>
      <c r="C17" s="21" t="s">
        <v>234</v>
      </c>
      <c r="D17" s="22" t="s">
        <v>234</v>
      </c>
    </row>
    <row r="18" spans="1:7" hidden="1" x14ac:dyDescent="0.25">
      <c r="A18" s="19" t="s">
        <v>240</v>
      </c>
      <c r="B18" s="20">
        <v>572.6</v>
      </c>
      <c r="C18" s="21" t="s">
        <v>234</v>
      </c>
      <c r="D18" s="22" t="s">
        <v>234</v>
      </c>
    </row>
    <row r="19" spans="1:7" hidden="1" x14ac:dyDescent="0.25">
      <c r="A19" s="19" t="s">
        <v>241</v>
      </c>
      <c r="B19" s="20">
        <v>840</v>
      </c>
      <c r="C19" s="21" t="s">
        <v>234</v>
      </c>
      <c r="D19" s="22" t="s">
        <v>234</v>
      </c>
    </row>
    <row r="20" spans="1:7" hidden="1" x14ac:dyDescent="0.25">
      <c r="A20" s="19" t="s">
        <v>242</v>
      </c>
      <c r="B20" s="20">
        <v>748</v>
      </c>
      <c r="C20" s="21"/>
      <c r="D20" s="22"/>
    </row>
    <row r="21" spans="1:7" hidden="1" x14ac:dyDescent="0.25">
      <c r="A21" s="19" t="s">
        <v>243</v>
      </c>
      <c r="B21" s="23">
        <v>0</v>
      </c>
      <c r="C21" s="21" t="s">
        <v>234</v>
      </c>
      <c r="D21" s="22" t="s">
        <v>234</v>
      </c>
    </row>
    <row r="22" spans="1:7" hidden="1" x14ac:dyDescent="0.25">
      <c r="A22" s="19" t="s">
        <v>244</v>
      </c>
      <c r="B22" s="20">
        <v>144</v>
      </c>
      <c r="C22" s="21"/>
      <c r="D22" s="22"/>
    </row>
    <row r="23" spans="1:7" x14ac:dyDescent="0.25">
      <c r="A23" s="219"/>
      <c r="B23" s="23"/>
      <c r="C23" s="21"/>
      <c r="D23" s="22"/>
      <c r="E23" s="3">
        <v>10</v>
      </c>
      <c r="F23" s="3">
        <v>2</v>
      </c>
    </row>
    <row r="24" spans="1:7" x14ac:dyDescent="0.25">
      <c r="A24" s="220" t="s">
        <v>319</v>
      </c>
      <c r="B24" s="28">
        <f>VLOOKUP(A5,'[5]Лист  1'!M$1:N$65536,2,FALSE)</f>
        <v>536036.6</v>
      </c>
      <c r="C24" s="21"/>
      <c r="D24" s="22"/>
      <c r="E24" s="26">
        <v>17.400000072000001</v>
      </c>
      <c r="F24" s="256">
        <v>19.477560080596799</v>
      </c>
    </row>
    <row r="25" spans="1:7" x14ac:dyDescent="0.25">
      <c r="A25" s="220" t="s">
        <v>320</v>
      </c>
      <c r="B25" s="28">
        <f>VLOOKUP(A5,'[5]Лист  1'!M$1:O$65536,3,FALSE)</f>
        <v>506731.56</v>
      </c>
      <c r="C25" s="21"/>
      <c r="D25" s="22"/>
    </row>
    <row r="26" spans="1:7" x14ac:dyDescent="0.25">
      <c r="A26" s="220" t="s">
        <v>321</v>
      </c>
      <c r="B26" s="28"/>
      <c r="C26" s="21"/>
      <c r="D26" s="22"/>
    </row>
    <row r="27" spans="1:7" x14ac:dyDescent="0.25">
      <c r="A27" s="220" t="s">
        <v>248</v>
      </c>
      <c r="B27" s="28">
        <f>B26</f>
        <v>0</v>
      </c>
      <c r="C27" s="21"/>
      <c r="D27" s="22"/>
    </row>
    <row r="28" spans="1:7" x14ac:dyDescent="0.25">
      <c r="A28" s="220" t="s">
        <v>399</v>
      </c>
      <c r="B28" s="28">
        <v>7611.96</v>
      </c>
      <c r="C28" s="21"/>
      <c r="D28" s="22"/>
    </row>
    <row r="29" spans="1:7" x14ac:dyDescent="0.25">
      <c r="A29" s="220" t="s">
        <v>250</v>
      </c>
      <c r="B29" s="23"/>
      <c r="C29" s="21"/>
      <c r="D29" s="22"/>
    </row>
    <row r="30" spans="1:7" x14ac:dyDescent="0.25">
      <c r="A30" s="221"/>
      <c r="B30" s="23"/>
      <c r="C30" s="21"/>
      <c r="D30" s="22"/>
    </row>
    <row r="31" spans="1:7" x14ac:dyDescent="0.25">
      <c r="A31" s="222" t="s">
        <v>251</v>
      </c>
      <c r="B31" s="23"/>
      <c r="C31" s="21"/>
      <c r="D31" s="22"/>
    </row>
    <row r="32" spans="1:7" s="34" customFormat="1" ht="31.5" x14ac:dyDescent="0.25">
      <c r="A32" s="223" t="s">
        <v>252</v>
      </c>
      <c r="B32" s="208">
        <f>SUM(B33:B41)</f>
        <v>132811.96000000002</v>
      </c>
      <c r="C32" s="21"/>
      <c r="D32" s="22"/>
      <c r="E32" s="33">
        <f>(B86-B24-B26)/1.2/1.03</f>
        <v>110335.41285624931</v>
      </c>
      <c r="F32" s="33" t="e">
        <f>(#REF!-#REF!-#REF!)/1.2/1.03</f>
        <v>#REF!</v>
      </c>
      <c r="G32" s="33" t="e">
        <f>(#REF!-#REF!-#REF!)/1.2/1.03</f>
        <v>#REF!</v>
      </c>
    </row>
    <row r="33" spans="1:7" x14ac:dyDescent="0.25">
      <c r="A33" s="224" t="s">
        <v>253</v>
      </c>
      <c r="B33" s="23">
        <f>40000*1.12</f>
        <v>44800.000000000007</v>
      </c>
      <c r="C33" s="21"/>
      <c r="D33" s="22">
        <v>35432.53</v>
      </c>
    </row>
    <row r="34" spans="1:7" x14ac:dyDescent="0.25">
      <c r="A34" s="277" t="s">
        <v>509</v>
      </c>
      <c r="B34" s="258">
        <v>442.49</v>
      </c>
      <c r="C34" s="21"/>
      <c r="D34" s="22">
        <v>0</v>
      </c>
    </row>
    <row r="35" spans="1:7" x14ac:dyDescent="0.25">
      <c r="A35" s="257" t="s">
        <v>443</v>
      </c>
      <c r="B35" s="258">
        <f>18480.31+37533.9+29246.76</f>
        <v>85260.97</v>
      </c>
      <c r="C35" s="21"/>
      <c r="D35" s="22">
        <v>0</v>
      </c>
    </row>
    <row r="36" spans="1:7" x14ac:dyDescent="0.25">
      <c r="A36" s="277" t="s">
        <v>508</v>
      </c>
      <c r="B36" s="260">
        <v>2308.5</v>
      </c>
      <c r="C36" s="21" t="s">
        <v>234</v>
      </c>
      <c r="D36" s="22">
        <v>0</v>
      </c>
    </row>
    <row r="37" spans="1:7" hidden="1" x14ac:dyDescent="0.25">
      <c r="A37" s="225" t="s">
        <v>400</v>
      </c>
      <c r="B37" s="20"/>
      <c r="C37" s="21"/>
      <c r="D37" s="22">
        <v>0</v>
      </c>
    </row>
    <row r="38" spans="1:7" hidden="1" x14ac:dyDescent="0.25">
      <c r="A38" s="224" t="s">
        <v>258</v>
      </c>
      <c r="B38" s="23">
        <v>0</v>
      </c>
      <c r="C38" s="21"/>
      <c r="D38" s="22">
        <v>0</v>
      </c>
    </row>
    <row r="39" spans="1:7" hidden="1" x14ac:dyDescent="0.25">
      <c r="A39" s="35" t="s">
        <v>259</v>
      </c>
      <c r="B39" s="23">
        <v>0</v>
      </c>
      <c r="C39" s="21"/>
      <c r="D39" s="22">
        <v>0</v>
      </c>
    </row>
    <row r="40" spans="1:7" hidden="1" x14ac:dyDescent="0.25">
      <c r="A40" s="35" t="s">
        <v>312</v>
      </c>
      <c r="B40" s="23">
        <v>0</v>
      </c>
      <c r="C40" s="21"/>
      <c r="D40" s="22"/>
    </row>
    <row r="41" spans="1:7" hidden="1" x14ac:dyDescent="0.25">
      <c r="A41" s="35" t="s">
        <v>313</v>
      </c>
      <c r="B41" s="23">
        <v>0</v>
      </c>
      <c r="C41" s="21"/>
      <c r="D41" s="22"/>
    </row>
    <row r="42" spans="1:7" s="34" customFormat="1" ht="47.25" x14ac:dyDescent="0.25">
      <c r="A42" s="223" t="s">
        <v>401</v>
      </c>
      <c r="B42" s="208">
        <f>SUM(B43:B45)</f>
        <v>76869.464273125894</v>
      </c>
      <c r="C42" s="21"/>
      <c r="D42" s="22"/>
      <c r="E42" s="33"/>
      <c r="F42" s="33"/>
      <c r="G42" s="33"/>
    </row>
    <row r="43" spans="1:7" x14ac:dyDescent="0.25">
      <c r="A43" s="35" t="s">
        <v>262</v>
      </c>
      <c r="B43" s="23">
        <f>1.04*38257.35*1.12</f>
        <v>44562.161280000008</v>
      </c>
      <c r="C43" s="39"/>
      <c r="D43" s="40"/>
    </row>
    <row r="44" spans="1:7" x14ac:dyDescent="0.25">
      <c r="A44" s="35" t="s">
        <v>263</v>
      </c>
      <c r="B44" s="23">
        <f>1.04*11061.62*1.12</f>
        <v>12884.574976000002</v>
      </c>
      <c r="C44" s="39"/>
      <c r="D44" s="40"/>
    </row>
    <row r="45" spans="1:7" x14ac:dyDescent="0.25">
      <c r="A45" s="226" t="s">
        <v>264</v>
      </c>
      <c r="B45" s="23">
        <f>1.04*16674.73215756*1.12</f>
        <v>19422.72801712589</v>
      </c>
      <c r="C45" s="39"/>
      <c r="D45" s="40"/>
    </row>
    <row r="46" spans="1:7" s="8" customFormat="1" x14ac:dyDescent="0.25">
      <c r="A46" s="223" t="s">
        <v>265</v>
      </c>
      <c r="B46" s="208">
        <f>SUM(B47:B65)</f>
        <v>115920.90000000001</v>
      </c>
      <c r="C46" s="21"/>
      <c r="D46" s="22"/>
    </row>
    <row r="47" spans="1:7" x14ac:dyDescent="0.25">
      <c r="A47" s="224" t="s">
        <v>326</v>
      </c>
      <c r="B47" s="23">
        <v>2404.92</v>
      </c>
      <c r="C47" s="21"/>
      <c r="D47" s="22"/>
      <c r="E47" s="3" t="s">
        <v>267</v>
      </c>
    </row>
    <row r="48" spans="1:7" x14ac:dyDescent="0.25">
      <c r="A48" s="224" t="s">
        <v>317</v>
      </c>
      <c r="B48" s="23">
        <v>9075.84</v>
      </c>
      <c r="C48" s="21"/>
      <c r="D48" s="22"/>
      <c r="E48" s="3" t="s">
        <v>269</v>
      </c>
    </row>
    <row r="49" spans="1:5" hidden="1" x14ac:dyDescent="0.25">
      <c r="A49" s="143" t="s">
        <v>270</v>
      </c>
      <c r="B49" s="23">
        <v>0</v>
      </c>
      <c r="C49" s="21"/>
      <c r="D49" s="22"/>
    </row>
    <row r="50" spans="1:5" hidden="1" x14ac:dyDescent="0.25">
      <c r="A50" s="143" t="s">
        <v>271</v>
      </c>
      <c r="B50" s="105">
        <v>0</v>
      </c>
      <c r="C50" s="21"/>
      <c r="D50" s="22"/>
    </row>
    <row r="51" spans="1:5" hidden="1" x14ac:dyDescent="0.25">
      <c r="A51" s="143" t="s">
        <v>272</v>
      </c>
      <c r="B51" s="23">
        <v>0</v>
      </c>
      <c r="C51" s="21"/>
      <c r="D51" s="22"/>
    </row>
    <row r="52" spans="1:5" ht="18" customHeight="1" x14ac:dyDescent="0.25">
      <c r="A52" s="143" t="s">
        <v>542</v>
      </c>
      <c r="B52" s="23">
        <v>700</v>
      </c>
      <c r="C52" s="21"/>
      <c r="D52" s="22">
        <v>105.14</v>
      </c>
    </row>
    <row r="53" spans="1:5" ht="19.5" customHeight="1" x14ac:dyDescent="0.25">
      <c r="A53" s="143" t="s">
        <v>541</v>
      </c>
      <c r="B53" s="23">
        <v>1440</v>
      </c>
      <c r="C53" s="21">
        <v>0</v>
      </c>
      <c r="D53" s="22">
        <v>522.99</v>
      </c>
    </row>
    <row r="54" spans="1:5" ht="17.25" customHeight="1" x14ac:dyDescent="0.25">
      <c r="A54" s="42" t="s">
        <v>275</v>
      </c>
      <c r="B54" s="23">
        <v>2033.62</v>
      </c>
      <c r="C54" s="21">
        <v>0</v>
      </c>
      <c r="D54" s="44">
        <v>695.13</v>
      </c>
    </row>
    <row r="55" spans="1:5" ht="15" customHeight="1" x14ac:dyDescent="0.25">
      <c r="A55" s="143" t="s">
        <v>348</v>
      </c>
      <c r="B55" s="23">
        <v>68074</v>
      </c>
      <c r="C55" s="21"/>
      <c r="D55" s="44"/>
      <c r="E55" s="227">
        <f>B80+B46-B59+328.88</f>
        <v>130997.42000000001</v>
      </c>
    </row>
    <row r="56" spans="1:5" x14ac:dyDescent="0.25">
      <c r="A56" s="143" t="s">
        <v>540</v>
      </c>
      <c r="B56" s="23">
        <v>11758.36</v>
      </c>
      <c r="C56" s="21">
        <v>0</v>
      </c>
      <c r="D56" s="22">
        <f>10695.76/1.18</f>
        <v>9064.203389830509</v>
      </c>
    </row>
    <row r="57" spans="1:5" hidden="1" x14ac:dyDescent="0.25">
      <c r="A57" s="143" t="s">
        <v>412</v>
      </c>
      <c r="B57" s="23"/>
      <c r="C57" s="21">
        <v>0</v>
      </c>
      <c r="D57" s="22">
        <f>2300/1.18</f>
        <v>1949.1525423728815</v>
      </c>
    </row>
    <row r="58" spans="1:5" hidden="1" x14ac:dyDescent="0.25">
      <c r="A58" s="143" t="s">
        <v>316</v>
      </c>
      <c r="B58" s="20"/>
      <c r="C58" s="21">
        <v>0</v>
      </c>
      <c r="D58" s="22">
        <v>0</v>
      </c>
    </row>
    <row r="59" spans="1:5" hidden="1" x14ac:dyDescent="0.25">
      <c r="A59" s="228" t="s">
        <v>279</v>
      </c>
      <c r="B59" s="20">
        <f>B13*'[6]32тарифы'!D184</f>
        <v>0</v>
      </c>
      <c r="C59" s="21"/>
      <c r="D59" s="22"/>
    </row>
    <row r="60" spans="1:5" hidden="1" x14ac:dyDescent="0.25">
      <c r="A60" s="35" t="s">
        <v>280</v>
      </c>
      <c r="B60" s="105">
        <v>0</v>
      </c>
      <c r="C60" s="21"/>
      <c r="D60" s="22"/>
    </row>
    <row r="61" spans="1:5" hidden="1" x14ac:dyDescent="0.25">
      <c r="A61" s="35" t="s">
        <v>281</v>
      </c>
      <c r="B61" s="105">
        <v>0</v>
      </c>
      <c r="C61" s="21"/>
      <c r="D61" s="22">
        <v>0</v>
      </c>
    </row>
    <row r="62" spans="1:5" hidden="1" x14ac:dyDescent="0.25">
      <c r="A62" s="224" t="s">
        <v>340</v>
      </c>
      <c r="B62" s="105">
        <v>0</v>
      </c>
      <c r="C62" s="21"/>
      <c r="D62" s="22">
        <v>0</v>
      </c>
    </row>
    <row r="63" spans="1:5" x14ac:dyDescent="0.25">
      <c r="A63" s="224" t="s">
        <v>327</v>
      </c>
      <c r="B63" s="229">
        <v>20434.16</v>
      </c>
      <c r="C63" s="46">
        <v>1</v>
      </c>
      <c r="D63" s="22">
        <v>0</v>
      </c>
    </row>
    <row r="64" spans="1:5" hidden="1" x14ac:dyDescent="0.25">
      <c r="A64" s="35" t="s">
        <v>284</v>
      </c>
      <c r="B64" s="229">
        <v>0</v>
      </c>
      <c r="C64" s="46">
        <v>60</v>
      </c>
      <c r="D64" s="22">
        <v>2</v>
      </c>
      <c r="E64" s="3">
        <v>1</v>
      </c>
    </row>
    <row r="65" spans="1:4" x14ac:dyDescent="0.25">
      <c r="A65" s="35" t="s">
        <v>282</v>
      </c>
      <c r="B65" s="229">
        <v>0</v>
      </c>
      <c r="C65" s="48">
        <v>60</v>
      </c>
      <c r="D65" s="40">
        <f>650/1.18</f>
        <v>550.84745762711873</v>
      </c>
    </row>
    <row r="66" spans="1:4" s="8" customFormat="1" x14ac:dyDescent="0.25">
      <c r="A66" s="230" t="s">
        <v>286</v>
      </c>
      <c r="B66" s="208">
        <f>SUM(B67:B74)</f>
        <v>132396.59373357962</v>
      </c>
      <c r="C66" s="39"/>
      <c r="D66" s="40"/>
    </row>
    <row r="67" spans="1:4" hidden="1" x14ac:dyDescent="0.25">
      <c r="A67" s="35" t="s">
        <v>287</v>
      </c>
      <c r="B67" s="23">
        <v>0</v>
      </c>
      <c r="C67" s="39"/>
      <c r="D67" s="40"/>
    </row>
    <row r="68" spans="1:4" x14ac:dyDescent="0.25">
      <c r="A68" s="224" t="s">
        <v>288</v>
      </c>
      <c r="B68" s="232">
        <f>61017*1.04</f>
        <v>63457.68</v>
      </c>
      <c r="C68" s="39"/>
      <c r="D68" s="40"/>
    </row>
    <row r="69" spans="1:4" hidden="1" x14ac:dyDescent="0.25">
      <c r="A69" s="35" t="s">
        <v>289</v>
      </c>
      <c r="B69" s="23">
        <v>0</v>
      </c>
      <c r="C69" s="39"/>
      <c r="D69" s="40"/>
    </row>
    <row r="70" spans="1:4" x14ac:dyDescent="0.25">
      <c r="A70" s="226" t="s">
        <v>290</v>
      </c>
      <c r="B70" s="23">
        <f>'[6]32тарифы'!D164*B13</f>
        <v>2922.1023640933404</v>
      </c>
      <c r="C70" s="39"/>
      <c r="D70" s="40"/>
    </row>
    <row r="71" spans="1:4" x14ac:dyDescent="0.25">
      <c r="A71" s="226" t="s">
        <v>291</v>
      </c>
      <c r="B71" s="23">
        <f>'[6]32тарифы'!D165*B15</f>
        <v>15134.055327173026</v>
      </c>
      <c r="C71" s="39"/>
      <c r="D71" s="40"/>
    </row>
    <row r="72" spans="1:4" x14ac:dyDescent="0.25">
      <c r="A72" s="226" t="s">
        <v>292</v>
      </c>
      <c r="B72" s="23">
        <f>27071*1.04</f>
        <v>28153.84</v>
      </c>
      <c r="C72" s="39"/>
      <c r="D72" s="40"/>
    </row>
    <row r="73" spans="1:4" x14ac:dyDescent="0.25">
      <c r="A73" s="226" t="s">
        <v>293</v>
      </c>
      <c r="B73" s="23">
        <f>4595*1.04</f>
        <v>4778.8</v>
      </c>
      <c r="C73" s="39"/>
      <c r="D73" s="40"/>
    </row>
    <row r="74" spans="1:4" x14ac:dyDescent="0.25">
      <c r="A74" s="226" t="s">
        <v>294</v>
      </c>
      <c r="B74" s="23">
        <f>('[6]32тарифы'!D167*B15)+('[6]32тарифы'!D187*B15)</f>
        <v>17950.116042313264</v>
      </c>
      <c r="C74" s="39"/>
      <c r="D74" s="40"/>
    </row>
    <row r="75" spans="1:4" ht="63" x14ac:dyDescent="0.25">
      <c r="A75" s="233" t="s">
        <v>295</v>
      </c>
      <c r="B75" s="208">
        <f>SUM(B76:B76)</f>
        <v>8960</v>
      </c>
      <c r="C75" s="39"/>
      <c r="D75" s="40"/>
    </row>
    <row r="76" spans="1:4" x14ac:dyDescent="0.25">
      <c r="A76" s="226" t="s">
        <v>296</v>
      </c>
      <c r="B76" s="23">
        <f>8000*1.12</f>
        <v>8960</v>
      </c>
      <c r="C76" s="39"/>
      <c r="D76" s="40"/>
    </row>
    <row r="77" spans="1:4" s="8" customFormat="1" x14ac:dyDescent="0.25">
      <c r="A77" s="230" t="s">
        <v>297</v>
      </c>
      <c r="B77" s="208">
        <f>SUM(B78:B81)</f>
        <v>77063.064428831873</v>
      </c>
      <c r="C77" s="39"/>
      <c r="D77" s="40"/>
    </row>
    <row r="78" spans="1:4" x14ac:dyDescent="0.25">
      <c r="A78" s="234" t="s">
        <v>298</v>
      </c>
      <c r="B78" s="23">
        <f>'[6]32тарифы'!D170*B15</f>
        <v>57113.344929773259</v>
      </c>
      <c r="C78" s="39"/>
      <c r="D78" s="40"/>
    </row>
    <row r="79" spans="1:4" hidden="1" x14ac:dyDescent="0.25">
      <c r="A79" s="234" t="s">
        <v>299</v>
      </c>
      <c r="B79" s="232">
        <f>(B26/1.2)*30%</f>
        <v>0</v>
      </c>
      <c r="C79" s="39"/>
      <c r="D79" s="40"/>
    </row>
    <row r="80" spans="1:4" x14ac:dyDescent="0.25">
      <c r="A80" s="235" t="s">
        <v>300</v>
      </c>
      <c r="B80" s="23">
        <f>8012.88+6734.76</f>
        <v>14747.64</v>
      </c>
      <c r="C80" s="39"/>
      <c r="D80" s="40"/>
    </row>
    <row r="81" spans="1:4" x14ac:dyDescent="0.25">
      <c r="A81" s="235" t="s">
        <v>301</v>
      </c>
      <c r="B81" s="23">
        <f>'[6]32тарифы'!D173*B13</f>
        <v>5202.0794990586191</v>
      </c>
      <c r="C81" s="39"/>
      <c r="D81" s="40"/>
    </row>
    <row r="82" spans="1:4" x14ac:dyDescent="0.25">
      <c r="A82" s="236" t="s">
        <v>302</v>
      </c>
      <c r="B82" s="28">
        <f>B32+B42+B46+B66+B75+B77</f>
        <v>544021.98243553739</v>
      </c>
      <c r="C82" s="39"/>
      <c r="D82" s="40"/>
    </row>
    <row r="83" spans="1:4" x14ac:dyDescent="0.25">
      <c r="A83" s="237" t="s">
        <v>303</v>
      </c>
      <c r="B83" s="23">
        <f>B82*0.03</f>
        <v>16320.659473066122</v>
      </c>
      <c r="C83" s="39"/>
      <c r="D83" s="40"/>
    </row>
    <row r="84" spans="1:4" s="34" customFormat="1" x14ac:dyDescent="0.25">
      <c r="A84" s="238" t="s">
        <v>304</v>
      </c>
      <c r="B84" s="208">
        <f>B82+B83</f>
        <v>560342.64190860349</v>
      </c>
      <c r="C84" s="39"/>
      <c r="D84" s="40"/>
    </row>
    <row r="85" spans="1:4" ht="16.5" thickBot="1" x14ac:dyDescent="0.3">
      <c r="A85" s="239" t="s">
        <v>305</v>
      </c>
      <c r="B85" s="240">
        <f>B84*0.2</f>
        <v>112068.52838172071</v>
      </c>
      <c r="C85" s="39"/>
      <c r="D85" s="40"/>
    </row>
    <row r="86" spans="1:4" s="8" customFormat="1" ht="16.5" thickBot="1" x14ac:dyDescent="0.3">
      <c r="A86" s="58" t="s">
        <v>306</v>
      </c>
      <c r="B86" s="66">
        <f>B84+B85</f>
        <v>672411.17029032414</v>
      </c>
      <c r="C86" s="60"/>
      <c r="D86" s="61"/>
    </row>
    <row r="87" spans="1:4" s="8" customFormat="1" ht="16.5" thickBot="1" x14ac:dyDescent="0.3">
      <c r="A87" s="62" t="s">
        <v>307</v>
      </c>
      <c r="B87" s="296">
        <f>B10+B24+B26+B28+B29-B86</f>
        <v>-397623.69029032416</v>
      </c>
      <c r="C87" s="63"/>
      <c r="D87" s="63"/>
    </row>
    <row r="88" spans="1:4" s="8" customFormat="1" ht="16.5" thickBot="1" x14ac:dyDescent="0.3">
      <c r="A88" s="64" t="s">
        <v>308</v>
      </c>
      <c r="B88" s="66">
        <f>B10+B25+B27+B28+B29-B86</f>
        <v>-426928.73029032419</v>
      </c>
      <c r="C88" s="63"/>
      <c r="D88" s="63"/>
    </row>
    <row r="89" spans="1:4" s="8" customFormat="1" ht="16.5" hidden="1" thickBot="1" x14ac:dyDescent="0.3">
      <c r="A89" s="241" t="s">
        <v>309</v>
      </c>
      <c r="B89" s="66">
        <f>B11+B24-B25</f>
        <v>29305.039999999979</v>
      </c>
      <c r="C89" s="63"/>
      <c r="D89" s="63"/>
    </row>
    <row r="90" spans="1:4" x14ac:dyDescent="0.25">
      <c r="B90" s="227"/>
    </row>
    <row r="91" spans="1:4" ht="10.5" customHeight="1" x14ac:dyDescent="0.25">
      <c r="A91" s="69"/>
    </row>
    <row r="92" spans="1:4" x14ac:dyDescent="0.25">
      <c r="A92" s="333" t="s">
        <v>407</v>
      </c>
      <c r="B92" s="333"/>
    </row>
    <row r="93" spans="1:4" x14ac:dyDescent="0.25">
      <c r="A93" s="69"/>
    </row>
    <row r="94" spans="1:4" hidden="1" x14ac:dyDescent="0.25">
      <c r="A94" s="342" t="s">
        <v>408</v>
      </c>
      <c r="B94" s="342"/>
      <c r="C94" s="72"/>
    </row>
  </sheetData>
  <autoFilter ref="A31:G89" xr:uid="{00000000-0009-0000-0000-000019000000}">
    <filterColumn colId="1">
      <filters>
        <filter val="1 751,42"/>
        <filter val="10 681,11"/>
        <filter val="11 059,94"/>
        <filter val="12 348,02"/>
        <filter val="141 952,98"/>
        <filter val="16 044,76"/>
        <filter val="19 320,75"/>
        <filter val="19 718,55"/>
        <filter val="2 635,92"/>
        <filter val="2 964,98"/>
        <filter val="23 020,37"/>
        <filter val="-230 180,47"/>
        <filter val="-253 200,84"/>
        <filter val="26 397,05"/>
        <filter val="3 447,37"/>
        <filter val="3 573,03"/>
        <filter val="34 555,78"/>
        <filter val="36 690,83"/>
        <filter val="368 664,60"/>
        <filter val="37 825,13"/>
        <filter val="379 724,54"/>
        <filter val="4 487,63"/>
        <filter val="43 964,95"/>
        <filter val="455 669,44"/>
        <filter val="50 521,82"/>
        <filter val="50 944,97"/>
        <filter val="6 799,96"/>
        <filter val="601,25"/>
        <filter val="61 015,05"/>
        <filter val="61 959,12"/>
        <filter val="7 497,90"/>
        <filter val="75 944,91"/>
        <filter val="770,58"/>
        <filter val="8 201,64"/>
        <filter val="8 697,51"/>
      </filters>
    </filterColumn>
  </autoFilter>
  <mergeCells count="9">
    <mergeCell ref="A94:B94"/>
    <mergeCell ref="C8:C9"/>
    <mergeCell ref="D8:D9"/>
    <mergeCell ref="A1:B1"/>
    <mergeCell ref="A2:B2"/>
    <mergeCell ref="A3:B3"/>
    <mergeCell ref="A8:A9"/>
    <mergeCell ref="B8:B9"/>
    <mergeCell ref="A92:B92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72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filterMode="1">
    <pageSetUpPr fitToPage="1"/>
  </sheetPr>
  <dimension ref="A1:G95"/>
  <sheetViews>
    <sheetView view="pageBreakPreview" topLeftCell="A35" zoomScale="75" zoomScaleNormal="100" zoomScaleSheetLayoutView="75" workbookViewId="0">
      <selection activeCell="B81" sqref="B81"/>
    </sheetView>
  </sheetViews>
  <sheetFormatPr defaultRowHeight="12.75" x14ac:dyDescent="0.2"/>
  <cols>
    <col min="1" max="1" width="96.42578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13" t="s">
        <v>224</v>
      </c>
      <c r="B1" s="313"/>
      <c r="C1" s="3"/>
      <c r="D1" s="3"/>
    </row>
    <row r="2" spans="1:4" ht="16.5" x14ac:dyDescent="0.25">
      <c r="A2" s="315" t="s">
        <v>225</v>
      </c>
      <c r="B2" s="315"/>
      <c r="C2" s="3"/>
      <c r="D2" s="3"/>
    </row>
    <row r="3" spans="1:4" ht="16.5" x14ac:dyDescent="0.25">
      <c r="A3" s="315" t="s">
        <v>226</v>
      </c>
      <c r="B3" s="315"/>
      <c r="C3" s="3"/>
      <c r="D3" s="3"/>
    </row>
    <row r="4" spans="1:4" ht="15.75" x14ac:dyDescent="0.25">
      <c r="A4" s="4" t="s">
        <v>516</v>
      </c>
      <c r="B4" s="4"/>
      <c r="C4" s="3"/>
      <c r="D4" s="3"/>
    </row>
    <row r="5" spans="1:4" ht="15.75" x14ac:dyDescent="0.25">
      <c r="A5" s="4" t="s">
        <v>78</v>
      </c>
      <c r="B5" s="4"/>
      <c r="C5" s="3"/>
      <c r="D5" s="3"/>
    </row>
    <row r="6" spans="1:4" ht="5.25" customHeight="1" x14ac:dyDescent="0.25">
      <c r="A6" s="4"/>
      <c r="B6" s="8"/>
      <c r="C6" s="8"/>
      <c r="D6" s="3"/>
    </row>
    <row r="7" spans="1:4" ht="16.5" thickBot="1" x14ac:dyDescent="0.3">
      <c r="A7" s="9"/>
      <c r="B7" s="8"/>
      <c r="C7" s="8"/>
      <c r="D7" s="3"/>
    </row>
    <row r="8" spans="1:4" ht="15.75" customHeight="1" x14ac:dyDescent="0.2">
      <c r="A8" s="335" t="s">
        <v>227</v>
      </c>
      <c r="B8" s="337" t="s">
        <v>228</v>
      </c>
      <c r="C8" s="307" t="s">
        <v>229</v>
      </c>
      <c r="D8" s="307" t="s">
        <v>230</v>
      </c>
    </row>
    <row r="9" spans="1:4" ht="28.5" customHeight="1" thickBot="1" x14ac:dyDescent="0.25">
      <c r="A9" s="336"/>
      <c r="B9" s="338"/>
      <c r="C9" s="308"/>
      <c r="D9" s="308"/>
    </row>
    <row r="10" spans="1:4" s="212" customFormat="1" ht="16.5" thickBot="1" x14ac:dyDescent="0.3">
      <c r="A10" s="209" t="s">
        <v>231</v>
      </c>
      <c r="B10" s="302">
        <f>VLOOKUP(A5,мкд!S:T,2,FALSE)</f>
        <v>313019.05</v>
      </c>
      <c r="C10" s="211"/>
      <c r="D10" s="211"/>
    </row>
    <row r="11" spans="1:4" s="212" customFormat="1" ht="16.5" hidden="1" thickBot="1" x14ac:dyDescent="0.3">
      <c r="A11" s="213" t="s">
        <v>232</v>
      </c>
      <c r="B11" s="214"/>
      <c r="C11" s="215"/>
      <c r="D11" s="215"/>
    </row>
    <row r="12" spans="1:4" ht="15.75" x14ac:dyDescent="0.25">
      <c r="A12" s="216" t="s">
        <v>233</v>
      </c>
      <c r="B12" s="217"/>
      <c r="C12" s="17" t="s">
        <v>234</v>
      </c>
      <c r="D12" s="18" t="s">
        <v>234</v>
      </c>
    </row>
    <row r="13" spans="1:4" ht="15.75" hidden="1" x14ac:dyDescent="0.25">
      <c r="A13" s="19" t="s">
        <v>235</v>
      </c>
      <c r="B13" s="20">
        <v>3177</v>
      </c>
      <c r="C13" s="21" t="s">
        <v>234</v>
      </c>
      <c r="D13" s="22" t="s">
        <v>234</v>
      </c>
    </row>
    <row r="14" spans="1:4" ht="15.75" hidden="1" x14ac:dyDescent="0.25">
      <c r="A14" s="19" t="s">
        <v>236</v>
      </c>
      <c r="B14" s="23">
        <v>0</v>
      </c>
      <c r="C14" s="21"/>
      <c r="D14" s="22"/>
    </row>
    <row r="15" spans="1:4" ht="15.75" x14ac:dyDescent="0.25">
      <c r="A15" s="219" t="s">
        <v>237</v>
      </c>
      <c r="B15" s="23">
        <f>B13+B14</f>
        <v>3177</v>
      </c>
      <c r="C15" s="21"/>
      <c r="D15" s="22"/>
    </row>
    <row r="16" spans="1:4" ht="15.75" x14ac:dyDescent="0.25">
      <c r="A16" s="219" t="s">
        <v>238</v>
      </c>
      <c r="B16" s="23">
        <f>727.4+2890.7/3</f>
        <v>1690.9666666666667</v>
      </c>
      <c r="C16" s="21" t="s">
        <v>234</v>
      </c>
      <c r="D16" s="22" t="s">
        <v>234</v>
      </c>
    </row>
    <row r="17" spans="1:7" ht="15.75" hidden="1" x14ac:dyDescent="0.25">
      <c r="A17" s="19" t="s">
        <v>239</v>
      </c>
      <c r="B17" s="23">
        <v>0</v>
      </c>
      <c r="C17" s="21" t="s">
        <v>234</v>
      </c>
      <c r="D17" s="22" t="s">
        <v>234</v>
      </c>
      <c r="E17" s="3"/>
      <c r="F17" s="3"/>
      <c r="G17" s="3"/>
    </row>
    <row r="18" spans="1:7" ht="15.75" hidden="1" x14ac:dyDescent="0.25">
      <c r="A18" s="19" t="s">
        <v>240</v>
      </c>
      <c r="B18" s="23">
        <v>0</v>
      </c>
      <c r="C18" s="21" t="s">
        <v>234</v>
      </c>
      <c r="D18" s="22" t="s">
        <v>234</v>
      </c>
      <c r="E18" s="3"/>
      <c r="F18" s="3"/>
      <c r="G18" s="3"/>
    </row>
    <row r="19" spans="1:7" ht="15.75" hidden="1" x14ac:dyDescent="0.25">
      <c r="A19" s="19" t="s">
        <v>241</v>
      </c>
      <c r="B19" s="20">
        <v>840</v>
      </c>
      <c r="C19" s="21" t="s">
        <v>234</v>
      </c>
      <c r="D19" s="22" t="s">
        <v>234</v>
      </c>
      <c r="E19" s="3"/>
      <c r="F19" s="3"/>
      <c r="G19" s="3"/>
    </row>
    <row r="20" spans="1:7" ht="15.75" hidden="1" x14ac:dyDescent="0.25">
      <c r="A20" s="19" t="s">
        <v>242</v>
      </c>
      <c r="B20" s="20">
        <v>1404</v>
      </c>
      <c r="C20" s="21"/>
      <c r="D20" s="22"/>
      <c r="E20" s="3"/>
      <c r="F20" s="3"/>
      <c r="G20" s="3"/>
    </row>
    <row r="21" spans="1:7" ht="15.75" hidden="1" x14ac:dyDescent="0.25">
      <c r="A21" s="19" t="s">
        <v>243</v>
      </c>
      <c r="B21" s="23">
        <v>0</v>
      </c>
      <c r="C21" s="21" t="s">
        <v>234</v>
      </c>
      <c r="D21" s="22" t="s">
        <v>234</v>
      </c>
      <c r="E21" s="3"/>
      <c r="F21" s="3"/>
      <c r="G21" s="3"/>
    </row>
    <row r="22" spans="1:7" ht="15.75" hidden="1" x14ac:dyDescent="0.25">
      <c r="A22" s="19" t="s">
        <v>244</v>
      </c>
      <c r="B22" s="20">
        <v>176</v>
      </c>
      <c r="C22" s="21"/>
      <c r="D22" s="22"/>
      <c r="E22" s="3"/>
      <c r="F22" s="3"/>
      <c r="G22" s="3"/>
    </row>
    <row r="23" spans="1:7" ht="15.75" x14ac:dyDescent="0.25">
      <c r="A23" s="219"/>
      <c r="B23" s="23"/>
      <c r="C23" s="21"/>
      <c r="D23" s="22"/>
      <c r="E23" s="3"/>
      <c r="F23" s="3"/>
      <c r="G23" s="3"/>
    </row>
    <row r="24" spans="1:7" ht="15.75" x14ac:dyDescent="0.25">
      <c r="A24" s="220" t="s">
        <v>319</v>
      </c>
      <c r="B24" s="28">
        <f>VLOOKUP(A5,'[5]Лист  1'!M$1:N$65536,2,FALSE)</f>
        <v>697741.32</v>
      </c>
      <c r="C24" s="21"/>
      <c r="D24" s="22"/>
      <c r="E24" s="26">
        <v>17.939999999999998</v>
      </c>
      <c r="F24" s="256">
        <v>20.082035999999995</v>
      </c>
      <c r="G24" s="3"/>
    </row>
    <row r="25" spans="1:7" ht="15.75" x14ac:dyDescent="0.25">
      <c r="A25" s="220" t="s">
        <v>320</v>
      </c>
      <c r="B25" s="28">
        <f>VLOOKUP(A5,'[5]Лист  1'!M$1:O$65536,3,FALSE)</f>
        <v>669265.25</v>
      </c>
      <c r="C25" s="21"/>
      <c r="D25" s="22"/>
      <c r="E25" s="3"/>
      <c r="F25" s="3"/>
      <c r="G25" s="3"/>
    </row>
    <row r="26" spans="1:7" ht="15.75" x14ac:dyDescent="0.25">
      <c r="A26" s="220" t="s">
        <v>321</v>
      </c>
      <c r="B26" s="28"/>
      <c r="C26" s="21"/>
      <c r="D26" s="22"/>
      <c r="E26" s="3"/>
      <c r="F26" s="3"/>
      <c r="G26" s="3"/>
    </row>
    <row r="27" spans="1:7" ht="15.75" x14ac:dyDescent="0.25">
      <c r="A27" s="220" t="s">
        <v>248</v>
      </c>
      <c r="B27" s="28">
        <f>B26</f>
        <v>0</v>
      </c>
      <c r="C27" s="21"/>
      <c r="D27" s="22"/>
      <c r="E27" s="3"/>
      <c r="F27" s="3"/>
      <c r="G27" s="3"/>
    </row>
    <row r="28" spans="1:7" ht="15.75" x14ac:dyDescent="0.25">
      <c r="A28" s="220" t="s">
        <v>399</v>
      </c>
      <c r="B28" s="28">
        <v>9289.92</v>
      </c>
      <c r="C28" s="21"/>
      <c r="D28" s="22"/>
      <c r="E28" s="3"/>
      <c r="F28" s="3"/>
      <c r="G28" s="3"/>
    </row>
    <row r="29" spans="1:7" ht="15.75" x14ac:dyDescent="0.25">
      <c r="A29" s="220" t="s">
        <v>250</v>
      </c>
      <c r="B29" s="23"/>
      <c r="C29" s="21"/>
      <c r="D29" s="22"/>
      <c r="E29" s="3"/>
      <c r="F29" s="3"/>
      <c r="G29" s="3"/>
    </row>
    <row r="30" spans="1:7" ht="15.75" x14ac:dyDescent="0.25">
      <c r="A30" s="221"/>
      <c r="B30" s="23"/>
      <c r="C30" s="21"/>
      <c r="D30" s="22"/>
      <c r="E30" s="3"/>
      <c r="F30" s="3"/>
      <c r="G30" s="3"/>
    </row>
    <row r="31" spans="1:7" ht="15.75" x14ac:dyDescent="0.25">
      <c r="A31" s="222" t="s">
        <v>251</v>
      </c>
      <c r="B31" s="23"/>
      <c r="C31" s="21"/>
      <c r="D31" s="22"/>
      <c r="E31" s="3"/>
      <c r="F31" s="3"/>
      <c r="G31" s="3"/>
    </row>
    <row r="32" spans="1:7" s="34" customFormat="1" ht="31.5" x14ac:dyDescent="0.25">
      <c r="A32" s="223" t="s">
        <v>252</v>
      </c>
      <c r="B32" s="208">
        <f>SUM(B33:B41)</f>
        <v>95935.670000000013</v>
      </c>
      <c r="C32" s="21"/>
      <c r="D32" s="22"/>
      <c r="E32" s="33">
        <f>(B86-B24-B26)/1.2/1.03</f>
        <v>53284.356817055319</v>
      </c>
      <c r="F32" s="33" t="e">
        <f>(#REF!-#REF!-#REF!)/1.2/1.03</f>
        <v>#REF!</v>
      </c>
      <c r="G32" s="33" t="e">
        <f>(#REF!-#REF!-#REF!)/1.2/1.03</f>
        <v>#REF!</v>
      </c>
    </row>
    <row r="33" spans="1:7" ht="15.75" x14ac:dyDescent="0.25">
      <c r="A33" s="224" t="s">
        <v>253</v>
      </c>
      <c r="B33" s="23">
        <f>35000*1.12</f>
        <v>39200.000000000007</v>
      </c>
      <c r="C33" s="21"/>
      <c r="D33" s="22">
        <v>37209.97</v>
      </c>
      <c r="E33" s="3"/>
      <c r="F33" s="3"/>
      <c r="G33" s="3"/>
    </row>
    <row r="34" spans="1:7" ht="15.75" x14ac:dyDescent="0.25">
      <c r="A34" s="257" t="s">
        <v>443</v>
      </c>
      <c r="B34" s="258">
        <v>27446.46</v>
      </c>
      <c r="C34" s="21"/>
      <c r="D34" s="22">
        <v>0</v>
      </c>
      <c r="E34" s="3"/>
      <c r="F34" s="3"/>
      <c r="G34" s="3"/>
    </row>
    <row r="35" spans="1:7" ht="15.75" x14ac:dyDescent="0.25">
      <c r="A35" s="257" t="s">
        <v>443</v>
      </c>
      <c r="B35" s="259">
        <v>29289.21</v>
      </c>
      <c r="C35" s="21"/>
      <c r="D35" s="22">
        <v>0</v>
      </c>
      <c r="E35" s="3"/>
      <c r="F35" s="3"/>
      <c r="G35" s="3"/>
    </row>
    <row r="36" spans="1:7" ht="15.75" hidden="1" x14ac:dyDescent="0.25">
      <c r="A36" s="224" t="s">
        <v>255</v>
      </c>
      <c r="B36" s="23"/>
      <c r="C36" s="21" t="s">
        <v>234</v>
      </c>
      <c r="D36" s="22">
        <v>0</v>
      </c>
      <c r="E36" s="3"/>
      <c r="F36" s="3"/>
      <c r="G36" s="3"/>
    </row>
    <row r="37" spans="1:7" ht="15.75" hidden="1" x14ac:dyDescent="0.25">
      <c r="A37" s="225" t="s">
        <v>400</v>
      </c>
      <c r="B37" s="20"/>
      <c r="C37" s="21"/>
      <c r="D37" s="22">
        <v>0</v>
      </c>
      <c r="E37" s="3"/>
      <c r="F37" s="3"/>
      <c r="G37" s="3"/>
    </row>
    <row r="38" spans="1:7" ht="15.75" hidden="1" x14ac:dyDescent="0.25">
      <c r="A38" s="224" t="s">
        <v>258</v>
      </c>
      <c r="B38" s="23">
        <v>0</v>
      </c>
      <c r="C38" s="21"/>
      <c r="D38" s="22">
        <v>0</v>
      </c>
      <c r="E38" s="3"/>
      <c r="F38" s="3"/>
      <c r="G38" s="3"/>
    </row>
    <row r="39" spans="1:7" ht="15.75" hidden="1" x14ac:dyDescent="0.25">
      <c r="A39" s="35" t="s">
        <v>259</v>
      </c>
      <c r="B39" s="23">
        <v>0</v>
      </c>
      <c r="C39" s="21"/>
      <c r="D39" s="22">
        <v>0</v>
      </c>
      <c r="E39" s="3"/>
      <c r="F39" s="3"/>
      <c r="G39" s="3"/>
    </row>
    <row r="40" spans="1:7" ht="15.75" hidden="1" x14ac:dyDescent="0.25">
      <c r="A40" s="35" t="s">
        <v>339</v>
      </c>
      <c r="B40" s="20"/>
      <c r="C40" s="21"/>
      <c r="D40" s="22"/>
      <c r="E40" s="3"/>
      <c r="F40" s="3"/>
      <c r="G40" s="3"/>
    </row>
    <row r="41" spans="1:7" ht="15.75" hidden="1" x14ac:dyDescent="0.25">
      <c r="A41" s="35" t="s">
        <v>343</v>
      </c>
      <c r="B41" s="23"/>
      <c r="C41" s="21"/>
      <c r="D41" s="22"/>
      <c r="E41" s="3"/>
      <c r="F41" s="3"/>
      <c r="G41" s="3"/>
    </row>
    <row r="42" spans="1:7" s="34" customFormat="1" ht="47.25" x14ac:dyDescent="0.25">
      <c r="A42" s="223" t="s">
        <v>401</v>
      </c>
      <c r="B42" s="208">
        <f>SUM(B43:B45)</f>
        <v>18487.078407841971</v>
      </c>
      <c r="C42" s="21"/>
      <c r="D42" s="22"/>
      <c r="E42" s="33"/>
      <c r="F42" s="33"/>
      <c r="G42" s="33"/>
    </row>
    <row r="43" spans="1:7" ht="15.75" x14ac:dyDescent="0.25">
      <c r="A43" s="35" t="s">
        <v>262</v>
      </c>
      <c r="B43" s="23"/>
      <c r="C43" s="39"/>
      <c r="D43" s="40"/>
      <c r="E43" s="3"/>
      <c r="F43" s="3"/>
      <c r="G43" s="3"/>
    </row>
    <row r="44" spans="1:7" ht="15.75" x14ac:dyDescent="0.25">
      <c r="A44" s="35" t="s">
        <v>263</v>
      </c>
      <c r="B44" s="23">
        <f>1.04*1007.49*1.12</f>
        <v>1173.5243520000001</v>
      </c>
      <c r="C44" s="39"/>
      <c r="D44" s="40"/>
      <c r="E44" s="3"/>
      <c r="F44" s="3"/>
      <c r="G44" s="3"/>
    </row>
    <row r="45" spans="1:7" ht="15.75" x14ac:dyDescent="0.25">
      <c r="A45" s="226" t="s">
        <v>264</v>
      </c>
      <c r="B45" s="23">
        <f>'[6]32тарифы'!D163*B15+409.01*1.12</f>
        <v>17313.554055841971</v>
      </c>
      <c r="C45" s="39"/>
      <c r="D45" s="40"/>
      <c r="E45" s="3"/>
      <c r="F45" s="3"/>
      <c r="G45" s="3"/>
    </row>
    <row r="46" spans="1:7" s="8" customFormat="1" ht="15.75" x14ac:dyDescent="0.25">
      <c r="A46" s="223" t="s">
        <v>265</v>
      </c>
      <c r="B46" s="208">
        <f>SUM(B47:B65)</f>
        <v>96079.89</v>
      </c>
      <c r="C46" s="21"/>
      <c r="D46" s="22"/>
    </row>
    <row r="47" spans="1:7" ht="15.75" hidden="1" x14ac:dyDescent="0.25">
      <c r="A47" s="224" t="s">
        <v>326</v>
      </c>
      <c r="B47" s="23">
        <v>0</v>
      </c>
      <c r="C47" s="21"/>
      <c r="D47" s="22"/>
      <c r="E47" s="3" t="s">
        <v>267</v>
      </c>
      <c r="F47" s="3"/>
      <c r="G47" s="3"/>
    </row>
    <row r="48" spans="1:7" ht="15.75" hidden="1" x14ac:dyDescent="0.25">
      <c r="A48" s="224" t="s">
        <v>317</v>
      </c>
      <c r="B48" s="23"/>
      <c r="C48" s="21"/>
      <c r="D48" s="22"/>
      <c r="E48" s="3" t="s">
        <v>269</v>
      </c>
      <c r="F48" s="3"/>
      <c r="G48" s="3"/>
    </row>
    <row r="49" spans="1:5" ht="15.75" hidden="1" x14ac:dyDescent="0.25">
      <c r="A49" s="143" t="s">
        <v>351</v>
      </c>
      <c r="B49" s="23"/>
      <c r="C49" s="21"/>
      <c r="D49" s="22"/>
      <c r="E49" s="3"/>
    </row>
    <row r="50" spans="1:5" ht="15.75" x14ac:dyDescent="0.25">
      <c r="A50" s="143" t="s">
        <v>282</v>
      </c>
      <c r="B50" s="20">
        <f>176.53+197</f>
        <v>373.53</v>
      </c>
      <c r="C50" s="21"/>
      <c r="D50" s="22"/>
      <c r="E50" s="3"/>
    </row>
    <row r="51" spans="1:5" ht="15.75" hidden="1" x14ac:dyDescent="0.25">
      <c r="A51" s="143" t="s">
        <v>366</v>
      </c>
      <c r="B51" s="23"/>
      <c r="C51" s="21"/>
      <c r="D51" s="22"/>
      <c r="E51" s="3"/>
    </row>
    <row r="52" spans="1:5" ht="15.75" x14ac:dyDescent="0.25">
      <c r="A52" s="143" t="s">
        <v>380</v>
      </c>
      <c r="B52" s="23">
        <v>8133.61</v>
      </c>
      <c r="C52" s="21"/>
      <c r="D52" s="22">
        <v>105.14</v>
      </c>
      <c r="E52" s="3"/>
    </row>
    <row r="53" spans="1:5" ht="15.75" x14ac:dyDescent="0.25">
      <c r="A53" s="228" t="s">
        <v>419</v>
      </c>
      <c r="B53" s="20">
        <v>24000</v>
      </c>
      <c r="C53" s="21">
        <v>2</v>
      </c>
      <c r="D53" s="22">
        <v>522.99</v>
      </c>
      <c r="E53" s="3"/>
    </row>
    <row r="54" spans="1:5" ht="15.75" hidden="1" x14ac:dyDescent="0.25">
      <c r="A54" s="188" t="s">
        <v>344</v>
      </c>
      <c r="B54" s="20"/>
      <c r="C54" s="21">
        <v>1</v>
      </c>
      <c r="D54" s="44">
        <v>657.53</v>
      </c>
      <c r="E54" s="3"/>
    </row>
    <row r="55" spans="1:5" ht="15.75" hidden="1" x14ac:dyDescent="0.25">
      <c r="A55" s="143" t="s">
        <v>276</v>
      </c>
      <c r="B55" s="23">
        <v>0</v>
      </c>
      <c r="C55" s="21"/>
      <c r="D55" s="44"/>
      <c r="E55" s="3"/>
    </row>
    <row r="56" spans="1:5" ht="15.75" hidden="1" x14ac:dyDescent="0.25">
      <c r="A56" s="143" t="s">
        <v>277</v>
      </c>
      <c r="B56" s="23">
        <v>0</v>
      </c>
      <c r="C56" s="21">
        <v>0</v>
      </c>
      <c r="D56" s="22">
        <f>10695.76/1.18</f>
        <v>9064.203389830509</v>
      </c>
      <c r="E56" s="3"/>
    </row>
    <row r="57" spans="1:5" ht="15.75" customHeight="1" x14ac:dyDescent="0.25">
      <c r="A57" s="143" t="s">
        <v>542</v>
      </c>
      <c r="B57" s="23">
        <v>4200</v>
      </c>
      <c r="C57" s="21">
        <v>0</v>
      </c>
      <c r="D57" s="22">
        <f>2300/1.18</f>
        <v>1949.1525423728815</v>
      </c>
      <c r="E57" s="3"/>
    </row>
    <row r="58" spans="1:5" ht="17.25" customHeight="1" x14ac:dyDescent="0.25">
      <c r="A58" s="143" t="s">
        <v>541</v>
      </c>
      <c r="B58" s="20">
        <v>15912</v>
      </c>
      <c r="C58" s="21">
        <v>0</v>
      </c>
      <c r="D58" s="22">
        <v>0</v>
      </c>
      <c r="E58" s="3"/>
    </row>
    <row r="59" spans="1:5" ht="16.5" x14ac:dyDescent="0.25">
      <c r="A59" s="250" t="s">
        <v>540</v>
      </c>
      <c r="B59" s="20">
        <v>17586.64</v>
      </c>
      <c r="C59" s="21"/>
      <c r="D59" s="22"/>
      <c r="E59" s="3"/>
    </row>
    <row r="60" spans="1:5" ht="15.75" hidden="1" x14ac:dyDescent="0.25">
      <c r="A60" s="35" t="s">
        <v>280</v>
      </c>
      <c r="B60" s="105">
        <v>0</v>
      </c>
      <c r="C60" s="21"/>
      <c r="D60" s="22"/>
      <c r="E60" s="227">
        <f>B80+B46-B59+653.98</f>
        <v>96091.599999999991</v>
      </c>
    </row>
    <row r="61" spans="1:5" ht="15.75" hidden="1" x14ac:dyDescent="0.25">
      <c r="A61" s="35" t="s">
        <v>281</v>
      </c>
      <c r="B61" s="105">
        <v>0</v>
      </c>
      <c r="C61" s="21"/>
      <c r="D61" s="22">
        <v>0</v>
      </c>
      <c r="E61" s="3"/>
    </row>
    <row r="62" spans="1:5" ht="15.75" hidden="1" x14ac:dyDescent="0.25">
      <c r="A62" s="224" t="s">
        <v>348</v>
      </c>
      <c r="B62" s="20"/>
      <c r="C62" s="21"/>
      <c r="D62" s="22">
        <v>0</v>
      </c>
      <c r="E62" s="3"/>
    </row>
    <row r="63" spans="1:5" ht="15.75" x14ac:dyDescent="0.25">
      <c r="A63" s="224" t="s">
        <v>327</v>
      </c>
      <c r="B63" s="229">
        <v>25874.11</v>
      </c>
      <c r="C63" s="46">
        <v>1</v>
      </c>
      <c r="D63" s="22">
        <v>0</v>
      </c>
      <c r="E63" s="3"/>
    </row>
    <row r="64" spans="1:5" ht="15.75" hidden="1" x14ac:dyDescent="0.25">
      <c r="A64" s="35" t="s">
        <v>284</v>
      </c>
      <c r="B64" s="229">
        <v>0</v>
      </c>
      <c r="C64" s="46">
        <v>80</v>
      </c>
      <c r="D64" s="22">
        <v>2</v>
      </c>
      <c r="E64" s="3">
        <v>1</v>
      </c>
    </row>
    <row r="65" spans="1:4" ht="15.75" hidden="1" x14ac:dyDescent="0.25">
      <c r="A65" s="35" t="s">
        <v>285</v>
      </c>
      <c r="B65" s="229">
        <v>0</v>
      </c>
      <c r="C65" s="48"/>
      <c r="D65" s="40">
        <v>0</v>
      </c>
    </row>
    <row r="66" spans="1:4" s="8" customFormat="1" ht="15.75" x14ac:dyDescent="0.25">
      <c r="A66" s="230" t="s">
        <v>286</v>
      </c>
      <c r="B66" s="208">
        <f>SUM(B67:B74)</f>
        <v>194695.84466500819</v>
      </c>
      <c r="C66" s="39"/>
      <c r="D66" s="40"/>
    </row>
    <row r="67" spans="1:4" ht="15.75" hidden="1" x14ac:dyDescent="0.25">
      <c r="A67" s="35" t="s">
        <v>287</v>
      </c>
      <c r="B67" s="23">
        <v>0</v>
      </c>
      <c r="C67" s="39"/>
      <c r="D67" s="40"/>
    </row>
    <row r="68" spans="1:4" ht="15.75" x14ac:dyDescent="0.25">
      <c r="A68" s="224" t="s">
        <v>288</v>
      </c>
      <c r="B68" s="232">
        <f>1.04*61895.4*1.12</f>
        <v>72095.761920000004</v>
      </c>
      <c r="C68" s="39"/>
      <c r="D68" s="40"/>
    </row>
    <row r="69" spans="1:4" ht="15.75" hidden="1" x14ac:dyDescent="0.25">
      <c r="A69" s="35" t="s">
        <v>289</v>
      </c>
      <c r="B69" s="23">
        <v>0</v>
      </c>
      <c r="C69" s="39"/>
      <c r="D69" s="40"/>
    </row>
    <row r="70" spans="1:4" ht="15.75" x14ac:dyDescent="0.25">
      <c r="A70" s="226" t="s">
        <v>290</v>
      </c>
      <c r="B70" s="23">
        <f>'[6]32тарифы'!D164*B13*1.12</f>
        <v>3922.8604097383472</v>
      </c>
      <c r="C70" s="39"/>
      <c r="D70" s="40"/>
    </row>
    <row r="71" spans="1:4" ht="15.75" x14ac:dyDescent="0.25">
      <c r="A71" s="226" t="s">
        <v>291</v>
      </c>
      <c r="B71" s="23">
        <f>'[6]32тарифы'!D165*B15*1.12</f>
        <v>20317.148095589568</v>
      </c>
      <c r="C71" s="39"/>
      <c r="D71" s="40"/>
    </row>
    <row r="72" spans="1:4" ht="15.75" x14ac:dyDescent="0.25">
      <c r="A72" s="226" t="s">
        <v>292</v>
      </c>
      <c r="B72" s="23">
        <f>1.04*32448.0438161648*1.12</f>
        <v>37795.48143706876</v>
      </c>
      <c r="C72" s="39"/>
      <c r="D72" s="40"/>
    </row>
    <row r="73" spans="1:4" ht="15.75" x14ac:dyDescent="0.25">
      <c r="A73" s="226" t="s">
        <v>293</v>
      </c>
      <c r="B73" s="23">
        <f>1.04*5505.86192047033*1.12</f>
        <v>6413.2279649638413</v>
      </c>
      <c r="C73" s="39"/>
      <c r="D73" s="40"/>
    </row>
    <row r="74" spans="1:4" ht="15.75" x14ac:dyDescent="0.25">
      <c r="A74" s="226" t="s">
        <v>294</v>
      </c>
      <c r="B74" s="23">
        <f>1.04*46489.8393180354*1.12</f>
        <v>54151.364837647641</v>
      </c>
      <c r="C74" s="39"/>
      <c r="D74" s="40"/>
    </row>
    <row r="75" spans="1:4" ht="63" x14ac:dyDescent="0.25">
      <c r="A75" s="233" t="s">
        <v>295</v>
      </c>
      <c r="B75" s="208">
        <f>SUM(B76:B76)</f>
        <v>112000.00000000001</v>
      </c>
      <c r="C75" s="39"/>
      <c r="D75" s="40"/>
    </row>
    <row r="76" spans="1:4" ht="15.75" x14ac:dyDescent="0.25">
      <c r="A76" s="226" t="s">
        <v>296</v>
      </c>
      <c r="B76" s="23">
        <f>100000*1.12</f>
        <v>112000.00000000001</v>
      </c>
      <c r="C76" s="39"/>
      <c r="D76" s="40"/>
    </row>
    <row r="77" spans="1:4" s="8" customFormat="1" ht="15.75" x14ac:dyDescent="0.25">
      <c r="A77" s="230" t="s">
        <v>297</v>
      </c>
      <c r="B77" s="208">
        <f>SUM(B78:B81)</f>
        <v>100601.50481216628</v>
      </c>
      <c r="C77" s="39"/>
      <c r="D77" s="40"/>
    </row>
    <row r="78" spans="1:4" ht="15.75" x14ac:dyDescent="0.25">
      <c r="A78" s="234" t="s">
        <v>298</v>
      </c>
      <c r="B78" s="23">
        <f>'[6]32тарифы'!D170*B15*1.12</f>
        <v>76673.453485348582</v>
      </c>
      <c r="C78" s="39"/>
      <c r="D78" s="40"/>
    </row>
    <row r="79" spans="1:4" ht="15.75" hidden="1" x14ac:dyDescent="0.25">
      <c r="A79" s="234" t="s">
        <v>299</v>
      </c>
      <c r="B79" s="232">
        <f>(B26/1.2)*30%</f>
        <v>0</v>
      </c>
      <c r="C79" s="39"/>
      <c r="D79" s="40"/>
    </row>
    <row r="80" spans="1:4" ht="15.75" x14ac:dyDescent="0.25">
      <c r="A80" s="235" t="s">
        <v>300</v>
      </c>
      <c r="B80" s="23">
        <f>10683.84+6260.53</f>
        <v>16944.37</v>
      </c>
      <c r="C80" s="39"/>
      <c r="D80" s="40"/>
    </row>
    <row r="81" spans="1:4" ht="15.75" x14ac:dyDescent="0.25">
      <c r="A81" s="235" t="s">
        <v>301</v>
      </c>
      <c r="B81" s="23">
        <f>'[6]32тарифы'!D173*B13*1.12</f>
        <v>6983.6813268177102</v>
      </c>
      <c r="C81" s="39"/>
      <c r="D81" s="40"/>
    </row>
    <row r="82" spans="1:4" ht="15.75" x14ac:dyDescent="0.25">
      <c r="A82" s="236" t="s">
        <v>302</v>
      </c>
      <c r="B82" s="28">
        <f>B32+B42+B46+B66+B75+B77</f>
        <v>617799.98788501648</v>
      </c>
      <c r="C82" s="39"/>
      <c r="D82" s="40"/>
    </row>
    <row r="83" spans="1:4" ht="15.75" x14ac:dyDescent="0.25">
      <c r="A83" s="237" t="s">
        <v>303</v>
      </c>
      <c r="B83" s="23">
        <f>B82*0.03</f>
        <v>18533.999636550492</v>
      </c>
      <c r="C83" s="39"/>
      <c r="D83" s="40"/>
    </row>
    <row r="84" spans="1:4" s="34" customFormat="1" ht="15.75" x14ac:dyDescent="0.25">
      <c r="A84" s="238" t="s">
        <v>304</v>
      </c>
      <c r="B84" s="208">
        <f>B82+B83</f>
        <v>636333.98752156692</v>
      </c>
      <c r="C84" s="39"/>
      <c r="D84" s="40"/>
    </row>
    <row r="85" spans="1:4" ht="16.5" thickBot="1" x14ac:dyDescent="0.3">
      <c r="A85" s="239" t="s">
        <v>305</v>
      </c>
      <c r="B85" s="240">
        <f>B84*0.2</f>
        <v>127266.79750431339</v>
      </c>
      <c r="C85" s="39"/>
      <c r="D85" s="40"/>
    </row>
    <row r="86" spans="1:4" s="8" customFormat="1" ht="16.5" thickBot="1" x14ac:dyDescent="0.3">
      <c r="A86" s="58" t="s">
        <v>306</v>
      </c>
      <c r="B86" s="66">
        <f>B84+B85</f>
        <v>763600.78502588032</v>
      </c>
      <c r="C86" s="60"/>
      <c r="D86" s="61"/>
    </row>
    <row r="87" spans="1:4" s="8" customFormat="1" ht="16.5" thickBot="1" x14ac:dyDescent="0.3">
      <c r="A87" s="62" t="s">
        <v>307</v>
      </c>
      <c r="B87" s="296">
        <f>B10+B24+B26+B28+B29-B86</f>
        <v>256449.5049741196</v>
      </c>
      <c r="C87" s="63"/>
      <c r="D87" s="63"/>
    </row>
    <row r="88" spans="1:4" s="8" customFormat="1" ht="16.5" thickBot="1" x14ac:dyDescent="0.3">
      <c r="A88" s="64" t="s">
        <v>308</v>
      </c>
      <c r="B88" s="66">
        <f>B10+B25+B27+B28+B29-B86</f>
        <v>227973.43497411977</v>
      </c>
      <c r="C88" s="63"/>
      <c r="D88" s="63"/>
    </row>
    <row r="89" spans="1:4" s="8" customFormat="1" ht="16.5" hidden="1" thickBot="1" x14ac:dyDescent="0.3">
      <c r="A89" s="241" t="s">
        <v>309</v>
      </c>
      <c r="B89" s="66">
        <f>B11+B24-B25</f>
        <v>28476.069999999949</v>
      </c>
      <c r="C89" s="63"/>
      <c r="D89" s="63"/>
    </row>
    <row r="90" spans="1:4" ht="15.75" x14ac:dyDescent="0.25">
      <c r="A90" s="3"/>
      <c r="B90" s="227"/>
      <c r="C90" s="3"/>
      <c r="D90" s="3"/>
    </row>
    <row r="91" spans="1:4" ht="10.5" customHeight="1" x14ac:dyDescent="0.25">
      <c r="A91" s="69"/>
      <c r="B91" s="3"/>
      <c r="C91" s="3"/>
      <c r="D91" s="3"/>
    </row>
    <row r="92" spans="1:4" ht="15.75" x14ac:dyDescent="0.25">
      <c r="A92" s="333" t="s">
        <v>407</v>
      </c>
      <c r="B92" s="333"/>
      <c r="C92" s="3"/>
      <c r="D92" s="3"/>
    </row>
    <row r="93" spans="1:4" ht="15.75" x14ac:dyDescent="0.25">
      <c r="A93" s="69"/>
      <c r="B93" s="3"/>
      <c r="C93" s="3"/>
      <c r="D93" s="3"/>
    </row>
    <row r="94" spans="1:4" ht="15.75" hidden="1" x14ac:dyDescent="0.25">
      <c r="A94" s="342" t="s">
        <v>408</v>
      </c>
      <c r="B94" s="342"/>
      <c r="C94" s="72"/>
      <c r="D94" s="3"/>
    </row>
    <row r="95" spans="1:4" ht="15.75" x14ac:dyDescent="0.25">
      <c r="A95" s="3"/>
      <c r="B95" s="3"/>
      <c r="C95" s="3"/>
      <c r="D95" s="3"/>
    </row>
  </sheetData>
  <autoFilter ref="A31:G89" xr:uid="{00000000-0009-0000-0000-00001A000000}">
    <filterColumn colId="1">
      <filters>
        <filter val="10 425,20"/>
        <filter val="11 762,56"/>
        <filter val="158 910,99"/>
        <filter val="16 104,89"/>
        <filter val="19 141,13"/>
        <filter val="2 907,71"/>
        <filter val="20 063,59"/>
        <filter val="218 311,60"/>
        <filter val="23 174,53"/>
        <filter val="238 375,19"/>
        <filter val="24 747,13"/>
        <filter val="3 553,95"/>
        <filter val="31 640,61"/>
        <filter val="33 876,44"/>
        <filter val="34 834,07"/>
        <filter val="392 085,28"/>
        <filter val="4 282,78"/>
        <filter val="403 847,84"/>
        <filter val="41 420,00"/>
        <filter val="43 979,17"/>
        <filter val="484 617,41"/>
        <filter val="5 379,06"/>
        <filter val="52 016,96"/>
        <filter val="54 730,72"/>
        <filter val="57 716,11"/>
        <filter val="6 275,88"/>
        <filter val="61 895,40"/>
        <filter val="7 785,80"/>
        <filter val="7 907,14"/>
        <filter val="8 150,72"/>
        <filter val="80 769,57"/>
        <filter val="9 129,31"/>
        <filter val="9 454,16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76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filterMode="1">
    <pageSetUpPr fitToPage="1"/>
  </sheetPr>
  <dimension ref="A1:G94"/>
  <sheetViews>
    <sheetView view="pageBreakPreview" topLeftCell="A25" zoomScale="70" zoomScaleNormal="100" zoomScaleSheetLayoutView="70" workbookViewId="0">
      <selection activeCell="B74" sqref="B74"/>
    </sheetView>
  </sheetViews>
  <sheetFormatPr defaultRowHeight="15.75" x14ac:dyDescent="0.25"/>
  <cols>
    <col min="1" max="1" width="96.42578125" style="3" customWidth="1"/>
    <col min="2" max="2" width="15" style="3" customWidth="1"/>
    <col min="3" max="4" width="13.85546875" style="3" customWidth="1"/>
    <col min="5" max="5" width="14.140625" style="3" customWidth="1"/>
    <col min="6" max="6" width="11.140625" style="3" customWidth="1"/>
    <col min="7" max="7" width="12.42578125" style="3" bestFit="1" customWidth="1"/>
    <col min="8" max="16384" width="9.140625" style="3"/>
  </cols>
  <sheetData>
    <row r="1" spans="1:4" ht="16.5" customHeight="1" x14ac:dyDescent="0.25">
      <c r="A1" s="313" t="s">
        <v>224</v>
      </c>
      <c r="B1" s="313"/>
    </row>
    <row r="2" spans="1:4" ht="16.5" x14ac:dyDescent="0.25">
      <c r="A2" s="315" t="s">
        <v>225</v>
      </c>
      <c r="B2" s="315"/>
    </row>
    <row r="3" spans="1:4" ht="16.5" x14ac:dyDescent="0.25">
      <c r="A3" s="315" t="s">
        <v>226</v>
      </c>
      <c r="B3" s="315"/>
    </row>
    <row r="4" spans="1:4" x14ac:dyDescent="0.25">
      <c r="A4" s="4" t="s">
        <v>516</v>
      </c>
      <c r="B4" s="4"/>
    </row>
    <row r="5" spans="1:4" x14ac:dyDescent="0.25">
      <c r="A5" s="4" t="s">
        <v>79</v>
      </c>
      <c r="B5" s="4"/>
    </row>
    <row r="6" spans="1:4" ht="5.25" customHeight="1" x14ac:dyDescent="0.25">
      <c r="A6" s="4"/>
      <c r="B6" s="8"/>
      <c r="C6" s="8"/>
    </row>
    <row r="7" spans="1:4" ht="16.5" thickBot="1" x14ac:dyDescent="0.3">
      <c r="A7" s="9"/>
      <c r="B7" s="8"/>
      <c r="C7" s="8"/>
    </row>
    <row r="8" spans="1:4" ht="15.75" customHeight="1" x14ac:dyDescent="0.25">
      <c r="A8" s="335" t="s">
        <v>227</v>
      </c>
      <c r="B8" s="337" t="s">
        <v>228</v>
      </c>
      <c r="C8" s="307" t="s">
        <v>229</v>
      </c>
      <c r="D8" s="307" t="s">
        <v>230</v>
      </c>
    </row>
    <row r="9" spans="1:4" ht="28.5" customHeight="1" thickBot="1" x14ac:dyDescent="0.3">
      <c r="A9" s="336"/>
      <c r="B9" s="338"/>
      <c r="C9" s="308"/>
      <c r="D9" s="308"/>
    </row>
    <row r="10" spans="1:4" s="212" customFormat="1" ht="16.5" thickBot="1" x14ac:dyDescent="0.3">
      <c r="A10" s="209" t="s">
        <v>231</v>
      </c>
      <c r="B10" s="302">
        <f>VLOOKUP(A5,мкд!S:T,2,FALSE)</f>
        <v>-257416.48</v>
      </c>
      <c r="C10" s="211"/>
      <c r="D10" s="211"/>
    </row>
    <row r="11" spans="1:4" s="212" customFormat="1" ht="16.5" hidden="1" thickBot="1" x14ac:dyDescent="0.3">
      <c r="A11" s="213" t="s">
        <v>232</v>
      </c>
      <c r="B11" s="243"/>
      <c r="C11" s="215"/>
      <c r="D11" s="215"/>
    </row>
    <row r="12" spans="1:4" x14ac:dyDescent="0.25">
      <c r="A12" s="216" t="s">
        <v>233</v>
      </c>
      <c r="B12" s="217"/>
      <c r="C12" s="17" t="s">
        <v>234</v>
      </c>
      <c r="D12" s="18" t="s">
        <v>234</v>
      </c>
    </row>
    <row r="13" spans="1:4" hidden="1" x14ac:dyDescent="0.25">
      <c r="A13" s="19" t="s">
        <v>235</v>
      </c>
      <c r="B13" s="20">
        <v>3177</v>
      </c>
      <c r="C13" s="21" t="s">
        <v>234</v>
      </c>
      <c r="D13" s="22" t="s">
        <v>234</v>
      </c>
    </row>
    <row r="14" spans="1:4" hidden="1" x14ac:dyDescent="0.25">
      <c r="A14" s="19" t="s">
        <v>236</v>
      </c>
      <c r="B14" s="20">
        <v>0</v>
      </c>
      <c r="C14" s="21"/>
      <c r="D14" s="22"/>
    </row>
    <row r="15" spans="1:4" x14ac:dyDescent="0.25">
      <c r="A15" s="219" t="s">
        <v>237</v>
      </c>
      <c r="B15" s="23">
        <f>B13+B14</f>
        <v>3177</v>
      </c>
      <c r="C15" s="21"/>
      <c r="D15" s="22"/>
    </row>
    <row r="16" spans="1:4" x14ac:dyDescent="0.25">
      <c r="A16" s="219" t="s">
        <v>238</v>
      </c>
      <c r="B16" s="23">
        <f>916.3+2681.4/3</f>
        <v>1810.1</v>
      </c>
      <c r="C16" s="21" t="s">
        <v>234</v>
      </c>
      <c r="D16" s="22" t="s">
        <v>234</v>
      </c>
    </row>
    <row r="17" spans="1:7" hidden="1" x14ac:dyDescent="0.25">
      <c r="A17" s="19" t="s">
        <v>239</v>
      </c>
      <c r="B17" s="20">
        <v>0</v>
      </c>
      <c r="C17" s="21" t="s">
        <v>234</v>
      </c>
      <c r="D17" s="22" t="s">
        <v>234</v>
      </c>
    </row>
    <row r="18" spans="1:7" hidden="1" x14ac:dyDescent="0.25">
      <c r="A18" s="19" t="s">
        <v>240</v>
      </c>
      <c r="B18" s="20">
        <v>885.7</v>
      </c>
      <c r="C18" s="21" t="s">
        <v>234</v>
      </c>
      <c r="D18" s="22" t="s">
        <v>234</v>
      </c>
    </row>
    <row r="19" spans="1:7" hidden="1" x14ac:dyDescent="0.25">
      <c r="A19" s="19" t="s">
        <v>241</v>
      </c>
      <c r="B19" s="20">
        <v>840</v>
      </c>
      <c r="C19" s="21" t="s">
        <v>234</v>
      </c>
      <c r="D19" s="22" t="s">
        <v>234</v>
      </c>
    </row>
    <row r="20" spans="1:7" hidden="1" x14ac:dyDescent="0.25">
      <c r="A20" s="19" t="s">
        <v>242</v>
      </c>
      <c r="B20" s="20">
        <v>1117</v>
      </c>
      <c r="C20" s="21"/>
      <c r="D20" s="22"/>
    </row>
    <row r="21" spans="1:7" hidden="1" x14ac:dyDescent="0.25">
      <c r="A21" s="19" t="s">
        <v>243</v>
      </c>
      <c r="B21" s="20">
        <v>0</v>
      </c>
      <c r="C21" s="21" t="s">
        <v>234</v>
      </c>
      <c r="D21" s="22" t="s">
        <v>234</v>
      </c>
    </row>
    <row r="22" spans="1:7" hidden="1" x14ac:dyDescent="0.25">
      <c r="A22" s="19" t="s">
        <v>244</v>
      </c>
      <c r="B22" s="20">
        <v>190</v>
      </c>
      <c r="C22" s="21"/>
      <c r="D22" s="22"/>
    </row>
    <row r="23" spans="1:7" x14ac:dyDescent="0.25">
      <c r="A23" s="219"/>
      <c r="B23" s="23"/>
      <c r="C23" s="21"/>
      <c r="D23" s="22"/>
    </row>
    <row r="24" spans="1:7" x14ac:dyDescent="0.25">
      <c r="A24" s="220" t="s">
        <v>319</v>
      </c>
      <c r="B24" s="28">
        <f>VLOOKUP(A5,'[5]Лист  1'!M$1:N$65536,2,FALSE)</f>
        <v>590086.80000000005</v>
      </c>
      <c r="C24" s="21"/>
      <c r="D24" s="22"/>
      <c r="E24" s="26">
        <v>15.48</v>
      </c>
    </row>
    <row r="25" spans="1:7" x14ac:dyDescent="0.25">
      <c r="A25" s="220" t="s">
        <v>320</v>
      </c>
      <c r="B25" s="28">
        <f>VLOOKUP(A5,'[5]Лист  1'!M$1:O$65536,3,FALSE)</f>
        <v>582908.30000000005</v>
      </c>
      <c r="C25" s="21"/>
      <c r="D25" s="22"/>
    </row>
    <row r="26" spans="1:7" hidden="1" x14ac:dyDescent="0.25">
      <c r="A26" s="220" t="s">
        <v>321</v>
      </c>
      <c r="B26" s="28"/>
      <c r="C26" s="21"/>
      <c r="D26" s="22"/>
    </row>
    <row r="27" spans="1:7" hidden="1" x14ac:dyDescent="0.25">
      <c r="A27" s="220" t="s">
        <v>248</v>
      </c>
      <c r="B27" s="28">
        <f>B26</f>
        <v>0</v>
      </c>
      <c r="C27" s="21"/>
      <c r="D27" s="22"/>
    </row>
    <row r="28" spans="1:7" x14ac:dyDescent="0.25">
      <c r="A28" s="220" t="s">
        <v>399</v>
      </c>
      <c r="B28" s="28">
        <v>9289.92</v>
      </c>
      <c r="C28" s="21"/>
      <c r="D28" s="22"/>
    </row>
    <row r="29" spans="1:7" hidden="1" x14ac:dyDescent="0.25">
      <c r="A29" s="220" t="s">
        <v>250</v>
      </c>
      <c r="B29" s="23"/>
      <c r="C29" s="21"/>
      <c r="D29" s="22"/>
    </row>
    <row r="30" spans="1:7" x14ac:dyDescent="0.25">
      <c r="A30" s="221"/>
      <c r="B30" s="23"/>
      <c r="C30" s="21"/>
      <c r="D30" s="22"/>
    </row>
    <row r="31" spans="1:7" x14ac:dyDescent="0.25">
      <c r="A31" s="222" t="s">
        <v>251</v>
      </c>
      <c r="B31" s="23"/>
      <c r="C31" s="21"/>
      <c r="D31" s="22"/>
    </row>
    <row r="32" spans="1:7" s="34" customFormat="1" ht="31.5" x14ac:dyDescent="0.25">
      <c r="A32" s="223" t="s">
        <v>252</v>
      </c>
      <c r="B32" s="208">
        <f>SUM(B33:B34)</f>
        <v>56364.14</v>
      </c>
      <c r="C32" s="21"/>
      <c r="D32" s="22"/>
      <c r="E32" s="33">
        <f>(B79-B24-B26)/1.2/1.03</f>
        <v>-10930.535393852391</v>
      </c>
      <c r="F32" s="33" t="e">
        <f>(#REF!-#REF!-#REF!)/1.2/1.03</f>
        <v>#REF!</v>
      </c>
      <c r="G32" s="33" t="e">
        <f>(#REF!-#REF!-#REF!)/1.2/1.03</f>
        <v>#REF!</v>
      </c>
    </row>
    <row r="33" spans="1:7" x14ac:dyDescent="0.25">
      <c r="A33" s="224" t="s">
        <v>253</v>
      </c>
      <c r="B33" s="23">
        <f>32126*1.12</f>
        <v>35981.120000000003</v>
      </c>
      <c r="C33" s="21"/>
      <c r="D33" s="22">
        <v>34944.370000000003</v>
      </c>
    </row>
    <row r="34" spans="1:7" x14ac:dyDescent="0.25">
      <c r="A34" s="257" t="s">
        <v>443</v>
      </c>
      <c r="B34" s="258">
        <v>20383.02</v>
      </c>
      <c r="C34" s="21"/>
      <c r="D34" s="22">
        <v>0</v>
      </c>
    </row>
    <row r="35" spans="1:7" s="34" customFormat="1" ht="47.25" x14ac:dyDescent="0.25">
      <c r="A35" s="263" t="s">
        <v>401</v>
      </c>
      <c r="B35" s="32">
        <f>SUM(B36:B38)</f>
        <v>32663.691200000005</v>
      </c>
      <c r="C35" s="21"/>
      <c r="D35" s="22"/>
      <c r="E35" s="33"/>
      <c r="F35" s="33"/>
      <c r="G35" s="33"/>
    </row>
    <row r="36" spans="1:7" x14ac:dyDescent="0.25">
      <c r="A36" s="224" t="s">
        <v>262</v>
      </c>
      <c r="B36" s="23">
        <v>523</v>
      </c>
      <c r="C36" s="39"/>
      <c r="D36" s="40"/>
    </row>
    <row r="37" spans="1:7" x14ac:dyDescent="0.25">
      <c r="A37" s="225" t="s">
        <v>263</v>
      </c>
      <c r="B37" s="20">
        <v>8444</v>
      </c>
      <c r="C37" s="39"/>
      <c r="D37" s="40"/>
    </row>
    <row r="38" spans="1:7" x14ac:dyDescent="0.25">
      <c r="A38" s="226" t="s">
        <v>264</v>
      </c>
      <c r="B38" s="23">
        <f>20344*1.04*1.12</f>
        <v>23696.691200000005</v>
      </c>
      <c r="C38" s="39"/>
      <c r="D38" s="40"/>
    </row>
    <row r="39" spans="1:7" s="8" customFormat="1" x14ac:dyDescent="0.25">
      <c r="A39" s="186" t="s">
        <v>265</v>
      </c>
      <c r="B39" s="32">
        <f>SUM(B40:B58)</f>
        <v>77628.710000000006</v>
      </c>
      <c r="C39" s="21"/>
      <c r="D39" s="22"/>
    </row>
    <row r="40" spans="1:7" x14ac:dyDescent="0.25">
      <c r="A40" s="187" t="s">
        <v>326</v>
      </c>
      <c r="B40" s="20">
        <v>3720</v>
      </c>
      <c r="C40" s="21"/>
      <c r="D40" s="22"/>
      <c r="E40" s="3" t="s">
        <v>267</v>
      </c>
    </row>
    <row r="41" spans="1:7" x14ac:dyDescent="0.25">
      <c r="A41" s="35" t="s">
        <v>317</v>
      </c>
      <c r="B41" s="23">
        <v>4517.1000000000004</v>
      </c>
      <c r="C41" s="21"/>
      <c r="D41" s="22"/>
      <c r="E41" s="3" t="s">
        <v>269</v>
      </c>
    </row>
    <row r="42" spans="1:7" hidden="1" x14ac:dyDescent="0.25">
      <c r="A42" s="42" t="s">
        <v>270</v>
      </c>
      <c r="B42" s="23">
        <v>0</v>
      </c>
      <c r="C42" s="21"/>
      <c r="D42" s="22"/>
    </row>
    <row r="43" spans="1:7" x14ac:dyDescent="0.25">
      <c r="A43" s="143" t="s">
        <v>402</v>
      </c>
      <c r="B43" s="23">
        <v>36.369999999999997</v>
      </c>
      <c r="C43" s="21"/>
      <c r="D43" s="22"/>
    </row>
    <row r="44" spans="1:7" hidden="1" x14ac:dyDescent="0.25">
      <c r="A44" s="143" t="s">
        <v>351</v>
      </c>
      <c r="B44" s="23"/>
      <c r="C44" s="21"/>
      <c r="D44" s="22"/>
    </row>
    <row r="45" spans="1:7" ht="15.75" customHeight="1" x14ac:dyDescent="0.25">
      <c r="A45" s="42" t="s">
        <v>542</v>
      </c>
      <c r="B45" s="23">
        <v>4200</v>
      </c>
      <c r="C45" s="21"/>
      <c r="D45" s="22">
        <v>105.14</v>
      </c>
    </row>
    <row r="46" spans="1:7" x14ac:dyDescent="0.25">
      <c r="A46" s="42" t="s">
        <v>274</v>
      </c>
      <c r="B46" s="23">
        <v>24000</v>
      </c>
      <c r="C46" s="21">
        <v>1</v>
      </c>
      <c r="D46" s="22">
        <v>522.99</v>
      </c>
    </row>
    <row r="47" spans="1:7" x14ac:dyDescent="0.25">
      <c r="A47" s="42" t="s">
        <v>359</v>
      </c>
      <c r="B47" s="23">
        <v>8133.61</v>
      </c>
      <c r="C47" s="21">
        <v>1</v>
      </c>
      <c r="D47" s="44">
        <v>657.53</v>
      </c>
    </row>
    <row r="48" spans="1:7" hidden="1" x14ac:dyDescent="0.25">
      <c r="A48" s="42" t="s">
        <v>316</v>
      </c>
      <c r="B48" s="23"/>
      <c r="C48" s="21"/>
      <c r="D48" s="44"/>
    </row>
    <row r="49" spans="1:5" hidden="1" x14ac:dyDescent="0.25">
      <c r="A49" s="143" t="s">
        <v>274</v>
      </c>
      <c r="B49" s="23"/>
      <c r="C49" s="21">
        <v>0</v>
      </c>
      <c r="D49" s="22">
        <f>10695.76/1.18</f>
        <v>9064.203389830509</v>
      </c>
    </row>
    <row r="50" spans="1:5" hidden="1" x14ac:dyDescent="0.25">
      <c r="A50" s="228" t="s">
        <v>412</v>
      </c>
      <c r="B50" s="20"/>
      <c r="C50" s="21">
        <v>0</v>
      </c>
      <c r="D50" s="22">
        <f>2300/1.18</f>
        <v>1949.1525423728815</v>
      </c>
    </row>
    <row r="51" spans="1:5" hidden="1" x14ac:dyDescent="0.25">
      <c r="A51" s="143" t="s">
        <v>315</v>
      </c>
      <c r="B51" s="23">
        <v>0</v>
      </c>
      <c r="C51" s="21">
        <v>0</v>
      </c>
      <c r="D51" s="22">
        <v>0</v>
      </c>
    </row>
    <row r="52" spans="1:5" hidden="1" x14ac:dyDescent="0.25">
      <c r="A52" s="143" t="s">
        <v>279</v>
      </c>
      <c r="B52" s="23">
        <f>B13*'[6]32тарифы'!D184</f>
        <v>0</v>
      </c>
      <c r="C52" s="21"/>
      <c r="D52" s="22"/>
      <c r="E52" s="227">
        <f>B73+B39-B52+751.16</f>
        <v>96810.030000000013</v>
      </c>
    </row>
    <row r="53" spans="1:5" hidden="1" x14ac:dyDescent="0.25">
      <c r="A53" s="35" t="s">
        <v>280</v>
      </c>
      <c r="B53" s="105">
        <v>0</v>
      </c>
      <c r="C53" s="21"/>
      <c r="D53" s="22"/>
    </row>
    <row r="54" spans="1:5" hidden="1" x14ac:dyDescent="0.25">
      <c r="A54" s="224" t="s">
        <v>415</v>
      </c>
      <c r="B54" s="20"/>
      <c r="C54" s="21"/>
      <c r="D54" s="22">
        <v>0</v>
      </c>
    </row>
    <row r="55" spans="1:5" hidden="1" x14ac:dyDescent="0.25">
      <c r="A55" s="35" t="s">
        <v>380</v>
      </c>
      <c r="B55" s="23"/>
      <c r="C55" s="21"/>
      <c r="D55" s="22">
        <v>0</v>
      </c>
    </row>
    <row r="56" spans="1:5" x14ac:dyDescent="0.25">
      <c r="A56" s="35" t="s">
        <v>541</v>
      </c>
      <c r="B56" s="229">
        <v>15912</v>
      </c>
      <c r="C56" s="46">
        <v>1</v>
      </c>
      <c r="D56" s="22">
        <v>0</v>
      </c>
    </row>
    <row r="57" spans="1:5" hidden="1" x14ac:dyDescent="0.25">
      <c r="A57" s="35" t="s">
        <v>284</v>
      </c>
      <c r="B57" s="229">
        <v>0</v>
      </c>
      <c r="C57" s="46">
        <v>80</v>
      </c>
      <c r="D57" s="22">
        <v>2</v>
      </c>
      <c r="E57" s="3">
        <v>1</v>
      </c>
    </row>
    <row r="58" spans="1:5" x14ac:dyDescent="0.25">
      <c r="A58" s="106" t="s">
        <v>540</v>
      </c>
      <c r="B58" s="229">
        <v>17109.63</v>
      </c>
      <c r="C58" s="48"/>
      <c r="D58" s="40">
        <v>0</v>
      </c>
    </row>
    <row r="59" spans="1:5" s="8" customFormat="1" x14ac:dyDescent="0.25">
      <c r="A59" s="189" t="s">
        <v>286</v>
      </c>
      <c r="B59" s="32">
        <f>SUM(B60:B67)</f>
        <v>90222.133448350229</v>
      </c>
      <c r="C59" s="39"/>
      <c r="D59" s="40"/>
    </row>
    <row r="60" spans="1:5" hidden="1" x14ac:dyDescent="0.25">
      <c r="A60" s="35" t="s">
        <v>287</v>
      </c>
      <c r="B60" s="23">
        <v>0</v>
      </c>
      <c r="C60" s="39"/>
      <c r="D60" s="40"/>
    </row>
    <row r="61" spans="1:5" hidden="1" x14ac:dyDescent="0.25">
      <c r="A61" s="187" t="s">
        <v>288</v>
      </c>
      <c r="B61" s="20"/>
      <c r="C61" s="39"/>
      <c r="D61" s="40"/>
    </row>
    <row r="62" spans="1:5" hidden="1" x14ac:dyDescent="0.25">
      <c r="A62" s="224" t="s">
        <v>289</v>
      </c>
      <c r="B62" s="23">
        <v>0</v>
      </c>
      <c r="C62" s="39"/>
      <c r="D62" s="40"/>
    </row>
    <row r="63" spans="1:5" x14ac:dyDescent="0.25">
      <c r="A63" s="226" t="s">
        <v>290</v>
      </c>
      <c r="B63" s="23">
        <f>'[6]32тарифы'!D164*B13*1.12</f>
        <v>3922.8604097383472</v>
      </c>
      <c r="C63" s="39"/>
      <c r="D63" s="40"/>
    </row>
    <row r="64" spans="1:5" x14ac:dyDescent="0.25">
      <c r="A64" s="163" t="s">
        <v>291</v>
      </c>
      <c r="B64" s="20">
        <f>'[6]32тарифы'!D165*B15*1.12</f>
        <v>20317.148095589568</v>
      </c>
      <c r="C64" s="39"/>
      <c r="D64" s="40"/>
    </row>
    <row r="65" spans="1:4" x14ac:dyDescent="0.25">
      <c r="A65" s="163" t="s">
        <v>292</v>
      </c>
      <c r="B65" s="20">
        <f>32448*1.04*1.12</f>
        <v>37795.430400000005</v>
      </c>
      <c r="C65" s="39"/>
      <c r="D65" s="40"/>
    </row>
    <row r="66" spans="1:4" x14ac:dyDescent="0.25">
      <c r="A66" s="226" t="s">
        <v>293</v>
      </c>
      <c r="B66" s="23">
        <f>5505*1.04*1.12</f>
        <v>6412.2240000000002</v>
      </c>
      <c r="C66" s="39"/>
      <c r="D66" s="40"/>
    </row>
    <row r="67" spans="1:4" x14ac:dyDescent="0.25">
      <c r="A67" s="163" t="s">
        <v>294</v>
      </c>
      <c r="B67" s="20">
        <f>('[6]32тарифы'!D167*B15)+('[6]32тарифы'!D187*B15)*1.12</f>
        <v>21774.470543022311</v>
      </c>
      <c r="C67" s="39"/>
      <c r="D67" s="40"/>
    </row>
    <row r="68" spans="1:4" ht="63" x14ac:dyDescent="0.25">
      <c r="A68" s="233" t="s">
        <v>295</v>
      </c>
      <c r="B68" s="264">
        <f>SUM(B69:B69)</f>
        <v>107520.00000000001</v>
      </c>
      <c r="C68" s="39"/>
      <c r="D68" s="40"/>
    </row>
    <row r="69" spans="1:4" x14ac:dyDescent="0.25">
      <c r="A69" s="163" t="s">
        <v>296</v>
      </c>
      <c r="B69" s="20">
        <f>96000*1.12</f>
        <v>107520.00000000001</v>
      </c>
      <c r="C69" s="39"/>
      <c r="D69" s="40"/>
    </row>
    <row r="70" spans="1:4" s="8" customFormat="1" x14ac:dyDescent="0.25">
      <c r="A70" s="230" t="s">
        <v>297</v>
      </c>
      <c r="B70" s="208">
        <f>SUM(B71:B74)</f>
        <v>102087.29481216629</v>
      </c>
      <c r="C70" s="39"/>
      <c r="D70" s="40"/>
    </row>
    <row r="71" spans="1:4" x14ac:dyDescent="0.25">
      <c r="A71" s="234" t="s">
        <v>298</v>
      </c>
      <c r="B71" s="23">
        <f>'[6]32тарифы'!D170*B15*1.12</f>
        <v>76673.453485348582</v>
      </c>
      <c r="C71" s="39"/>
      <c r="D71" s="40"/>
    </row>
    <row r="72" spans="1:4" hidden="1" x14ac:dyDescent="0.25">
      <c r="A72" s="234" t="s">
        <v>299</v>
      </c>
      <c r="B72" s="23">
        <f>(B26/1.2)*30%</f>
        <v>0</v>
      </c>
      <c r="C72" s="39"/>
      <c r="D72" s="40"/>
    </row>
    <row r="73" spans="1:4" x14ac:dyDescent="0.25">
      <c r="A73" s="235" t="s">
        <v>300</v>
      </c>
      <c r="B73" s="23">
        <f>7746.32+10683.84</f>
        <v>18430.16</v>
      </c>
      <c r="C73" s="39"/>
      <c r="D73" s="40"/>
    </row>
    <row r="74" spans="1:4" x14ac:dyDescent="0.25">
      <c r="A74" s="235" t="s">
        <v>301</v>
      </c>
      <c r="B74" s="23">
        <f>'[6]32тарифы'!D173*B13*1.12</f>
        <v>6983.6813268177102</v>
      </c>
      <c r="C74" s="39"/>
      <c r="D74" s="40"/>
    </row>
    <row r="75" spans="1:4" x14ac:dyDescent="0.25">
      <c r="A75" s="236" t="s">
        <v>302</v>
      </c>
      <c r="B75" s="28">
        <f>B32+B35+B39+B59+B68+B70</f>
        <v>466485.96946051653</v>
      </c>
      <c r="C75" s="39"/>
      <c r="D75" s="40"/>
    </row>
    <row r="76" spans="1:4" x14ac:dyDescent="0.25">
      <c r="A76" s="237" t="s">
        <v>303</v>
      </c>
      <c r="B76" s="23">
        <f>B75*0.03</f>
        <v>13994.579083815495</v>
      </c>
      <c r="C76" s="39"/>
      <c r="D76" s="40"/>
    </row>
    <row r="77" spans="1:4" s="34" customFormat="1" x14ac:dyDescent="0.25">
      <c r="A77" s="238" t="s">
        <v>304</v>
      </c>
      <c r="B77" s="208">
        <f>B75+B76</f>
        <v>480480.54854433204</v>
      </c>
      <c r="C77" s="39"/>
      <c r="D77" s="40"/>
    </row>
    <row r="78" spans="1:4" ht="16.5" thickBot="1" x14ac:dyDescent="0.3">
      <c r="A78" s="239" t="s">
        <v>305</v>
      </c>
      <c r="B78" s="240">
        <f>B77*0.2</f>
        <v>96096.10970886641</v>
      </c>
      <c r="C78" s="39"/>
      <c r="D78" s="40"/>
    </row>
    <row r="79" spans="1:4" s="8" customFormat="1" ht="16.5" thickBot="1" x14ac:dyDescent="0.3">
      <c r="A79" s="62" t="s">
        <v>306</v>
      </c>
      <c r="B79" s="265">
        <f>B77+B78</f>
        <v>576576.65825319849</v>
      </c>
      <c r="C79" s="60"/>
      <c r="D79" s="61"/>
    </row>
    <row r="80" spans="1:4" s="8" customFormat="1" ht="16.5" thickBot="1" x14ac:dyDescent="0.3">
      <c r="A80" s="62" t="s">
        <v>307</v>
      </c>
      <c r="B80" s="66">
        <f>B10+B24+B26+B28+B29-B79</f>
        <v>-234616.41825319844</v>
      </c>
      <c r="C80" s="63"/>
      <c r="D80" s="63"/>
    </row>
    <row r="81" spans="1:4" s="8" customFormat="1" ht="16.5" thickBot="1" x14ac:dyDescent="0.3">
      <c r="A81" s="64" t="s">
        <v>308</v>
      </c>
      <c r="B81" s="66">
        <f>B10+B25+B27+B28+B29-B79</f>
        <v>-241794.91825319844</v>
      </c>
      <c r="C81" s="63"/>
      <c r="D81" s="63"/>
    </row>
    <row r="82" spans="1:4" s="8" customFormat="1" hidden="1" x14ac:dyDescent="0.25">
      <c r="A82" s="266" t="s">
        <v>309</v>
      </c>
      <c r="B82" s="267">
        <f>B11+B24-B25</f>
        <v>7178.5</v>
      </c>
      <c r="C82" s="63"/>
      <c r="D82" s="63"/>
    </row>
    <row r="83" spans="1:4" x14ac:dyDescent="0.25">
      <c r="B83" s="227"/>
    </row>
    <row r="84" spans="1:4" ht="10.5" customHeight="1" x14ac:dyDescent="0.25">
      <c r="A84" s="69"/>
    </row>
    <row r="85" spans="1:4" x14ac:dyDescent="0.25">
      <c r="A85" s="344" t="s">
        <v>407</v>
      </c>
      <c r="B85" s="344"/>
    </row>
    <row r="86" spans="1:4" x14ac:dyDescent="0.25">
      <c r="A86" s="69"/>
    </row>
    <row r="87" spans="1:4" hidden="1" x14ac:dyDescent="0.25">
      <c r="A87" s="342" t="s">
        <v>408</v>
      </c>
      <c r="B87" s="343"/>
      <c r="C87" s="72"/>
    </row>
    <row r="88" spans="1:4" x14ac:dyDescent="0.25">
      <c r="A88"/>
      <c r="B88"/>
      <c r="C88"/>
      <c r="D88"/>
    </row>
    <row r="89" spans="1:4" x14ac:dyDescent="0.25">
      <c r="A89"/>
      <c r="B89"/>
      <c r="C89"/>
      <c r="D89"/>
    </row>
    <row r="94" spans="1:4" x14ac:dyDescent="0.25">
      <c r="A94"/>
      <c r="B94" s="70"/>
    </row>
  </sheetData>
  <autoFilter ref="A31:G82" xr:uid="{00000000-0009-0000-0000-00001B000000}">
    <filterColumn colId="1">
      <filters>
        <filter val="1 562,59"/>
        <filter val="10 425,20"/>
        <filter val="10 897,75"/>
        <filter val="12 108,23"/>
        <filter val="14 304,38"/>
        <filter val="16 104,89"/>
        <filter val="-163 654,10"/>
        <filter val="163 779,07"/>
        <filter val="18 071,91"/>
        <filter val="-181 726,01"/>
        <filter val="19 169,53"/>
        <filter val="23 174,53"/>
        <filter val="25 196,76"/>
        <filter val="26 759,35"/>
        <filter val="3 553,95"/>
        <filter val="31 640,61"/>
        <filter val="38 601,88"/>
        <filter val="4 282,78"/>
        <filter val="403 607,54"/>
        <filter val="41 420,00"/>
        <filter val="415 715,77"/>
        <filter val="43 979,17"/>
        <filter val="498 858,92"/>
        <filter val="5 127,97"/>
        <filter val="5 161,27"/>
        <filter val="5 379,06"/>
        <filter val="55 200,52"/>
        <filter val="59 159,70"/>
        <filter val="6 275,88"/>
        <filter val="60 107,03"/>
        <filter val="66 763,48"/>
        <filter val="8 150,72"/>
        <filter val="83 143,15"/>
        <filter val="930,00"/>
      </filters>
    </filterColumn>
  </autoFilter>
  <mergeCells count="9">
    <mergeCell ref="D8:D9"/>
    <mergeCell ref="A85:B85"/>
    <mergeCell ref="A87:B87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82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filterMode="1">
    <pageSetUpPr fitToPage="1"/>
  </sheetPr>
  <dimension ref="A1:G94"/>
  <sheetViews>
    <sheetView view="pageBreakPreview" topLeftCell="A31" zoomScale="70" zoomScaleNormal="100" zoomScaleSheetLayoutView="70" workbookViewId="0">
      <selection activeCell="B79" sqref="B79"/>
    </sheetView>
  </sheetViews>
  <sheetFormatPr defaultRowHeight="15.75" x14ac:dyDescent="0.25"/>
  <cols>
    <col min="1" max="1" width="96.42578125" style="3" customWidth="1"/>
    <col min="2" max="2" width="15" style="3" customWidth="1"/>
    <col min="3" max="4" width="13.85546875" style="3" customWidth="1"/>
    <col min="5" max="5" width="14.140625" style="3" customWidth="1"/>
    <col min="6" max="6" width="11.140625" style="3" customWidth="1"/>
    <col min="7" max="7" width="12.42578125" style="3" bestFit="1" customWidth="1"/>
    <col min="8" max="16384" width="9.140625" style="3"/>
  </cols>
  <sheetData>
    <row r="1" spans="1:4" ht="16.5" customHeight="1" x14ac:dyDescent="0.25">
      <c r="A1" s="313" t="s">
        <v>224</v>
      </c>
      <c r="B1" s="313"/>
    </row>
    <row r="2" spans="1:4" ht="16.5" x14ac:dyDescent="0.25">
      <c r="A2" s="315" t="s">
        <v>225</v>
      </c>
      <c r="B2" s="315"/>
    </row>
    <row r="3" spans="1:4" ht="16.5" x14ac:dyDescent="0.25">
      <c r="A3" s="315" t="s">
        <v>226</v>
      </c>
      <c r="B3" s="315"/>
    </row>
    <row r="4" spans="1:4" x14ac:dyDescent="0.25">
      <c r="A4" s="4" t="s">
        <v>516</v>
      </c>
      <c r="B4" s="4"/>
    </row>
    <row r="5" spans="1:4" x14ac:dyDescent="0.25">
      <c r="A5" s="4" t="s">
        <v>80</v>
      </c>
      <c r="B5" s="4"/>
    </row>
    <row r="6" spans="1:4" ht="5.25" customHeight="1" x14ac:dyDescent="0.25">
      <c r="A6" s="4"/>
      <c r="B6" s="8"/>
      <c r="C6" s="8"/>
    </row>
    <row r="7" spans="1:4" ht="16.5" thickBot="1" x14ac:dyDescent="0.3">
      <c r="A7" s="9"/>
      <c r="B7" s="8"/>
      <c r="C7" s="8"/>
    </row>
    <row r="8" spans="1:4" ht="15.75" customHeight="1" x14ac:dyDescent="0.25">
      <c r="A8" s="335" t="s">
        <v>227</v>
      </c>
      <c r="B8" s="337" t="s">
        <v>228</v>
      </c>
      <c r="C8" s="307" t="s">
        <v>229</v>
      </c>
      <c r="D8" s="307" t="s">
        <v>230</v>
      </c>
    </row>
    <row r="9" spans="1:4" ht="28.5" customHeight="1" thickBot="1" x14ac:dyDescent="0.3">
      <c r="A9" s="336"/>
      <c r="B9" s="338"/>
      <c r="C9" s="308"/>
      <c r="D9" s="308"/>
    </row>
    <row r="10" spans="1:4" s="212" customFormat="1" ht="16.5" thickBot="1" x14ac:dyDescent="0.3">
      <c r="A10" s="209" t="s">
        <v>231</v>
      </c>
      <c r="B10" s="302">
        <f>VLOOKUP(A5,мкд!S:T,2,FALSE)</f>
        <v>-49574.95</v>
      </c>
      <c r="C10" s="211"/>
      <c r="D10" s="211"/>
    </row>
    <row r="11" spans="1:4" s="212" customFormat="1" ht="16.5" hidden="1" thickBot="1" x14ac:dyDescent="0.3">
      <c r="A11" s="213" t="s">
        <v>232</v>
      </c>
      <c r="B11" s="214"/>
      <c r="C11" s="215"/>
      <c r="D11" s="215"/>
    </row>
    <row r="12" spans="1:4" x14ac:dyDescent="0.25">
      <c r="A12" s="216" t="s">
        <v>233</v>
      </c>
      <c r="B12" s="217"/>
      <c r="C12" s="17" t="s">
        <v>234</v>
      </c>
      <c r="D12" s="18" t="s">
        <v>234</v>
      </c>
    </row>
    <row r="13" spans="1:4" hidden="1" x14ac:dyDescent="0.25">
      <c r="A13" s="19" t="s">
        <v>235</v>
      </c>
      <c r="B13" s="20">
        <v>3390.3</v>
      </c>
      <c r="C13" s="21" t="s">
        <v>234</v>
      </c>
      <c r="D13" s="22" t="s">
        <v>234</v>
      </c>
    </row>
    <row r="14" spans="1:4" hidden="1" x14ac:dyDescent="0.25">
      <c r="A14" s="19" t="s">
        <v>236</v>
      </c>
      <c r="B14" s="23">
        <v>0</v>
      </c>
      <c r="C14" s="21"/>
      <c r="D14" s="22"/>
    </row>
    <row r="15" spans="1:4" x14ac:dyDescent="0.25">
      <c r="A15" s="219" t="s">
        <v>237</v>
      </c>
      <c r="B15" s="23">
        <f>B13+B14</f>
        <v>3390.3</v>
      </c>
      <c r="C15" s="21"/>
      <c r="D15" s="22"/>
    </row>
    <row r="16" spans="1:4" x14ac:dyDescent="0.25">
      <c r="A16" s="219" t="s">
        <v>238</v>
      </c>
      <c r="B16" s="23">
        <f>1203.8+1605.7/3</f>
        <v>1739.0333333333333</v>
      </c>
      <c r="C16" s="21" t="s">
        <v>234</v>
      </c>
      <c r="D16" s="22" t="s">
        <v>234</v>
      </c>
    </row>
    <row r="17" spans="1:7" hidden="1" x14ac:dyDescent="0.25">
      <c r="A17" s="19" t="s">
        <v>239</v>
      </c>
      <c r="B17" s="23">
        <v>0</v>
      </c>
      <c r="C17" s="21" t="s">
        <v>234</v>
      </c>
      <c r="D17" s="22" t="s">
        <v>234</v>
      </c>
    </row>
    <row r="18" spans="1:7" hidden="1" x14ac:dyDescent="0.25">
      <c r="A18" s="19" t="s">
        <v>240</v>
      </c>
      <c r="B18" s="20">
        <v>885.7</v>
      </c>
      <c r="C18" s="21" t="s">
        <v>234</v>
      </c>
      <c r="D18" s="22" t="s">
        <v>234</v>
      </c>
    </row>
    <row r="19" spans="1:7" hidden="1" x14ac:dyDescent="0.25">
      <c r="A19" s="19" t="s">
        <v>241</v>
      </c>
      <c r="B19" s="20">
        <v>840</v>
      </c>
      <c r="C19" s="21" t="s">
        <v>234</v>
      </c>
      <c r="D19" s="22" t="s">
        <v>234</v>
      </c>
    </row>
    <row r="20" spans="1:7" hidden="1" x14ac:dyDescent="0.25">
      <c r="A20" s="19" t="s">
        <v>242</v>
      </c>
      <c r="B20" s="20">
        <v>1117</v>
      </c>
      <c r="C20" s="21"/>
      <c r="D20" s="22"/>
    </row>
    <row r="21" spans="1:7" hidden="1" x14ac:dyDescent="0.25">
      <c r="A21" s="19" t="s">
        <v>243</v>
      </c>
      <c r="B21" s="23">
        <v>0</v>
      </c>
      <c r="C21" s="21" t="s">
        <v>234</v>
      </c>
      <c r="D21" s="22" t="s">
        <v>234</v>
      </c>
    </row>
    <row r="22" spans="1:7" hidden="1" x14ac:dyDescent="0.25">
      <c r="A22" s="19" t="s">
        <v>244</v>
      </c>
      <c r="B22" s="23">
        <v>0</v>
      </c>
      <c r="C22" s="21"/>
      <c r="D22" s="22"/>
    </row>
    <row r="23" spans="1:7" x14ac:dyDescent="0.25">
      <c r="A23" s="219"/>
      <c r="B23" s="23"/>
      <c r="C23" s="21"/>
      <c r="D23" s="22"/>
    </row>
    <row r="24" spans="1:7" x14ac:dyDescent="0.25">
      <c r="A24" s="220" t="s">
        <v>319</v>
      </c>
      <c r="B24" s="28" t="e">
        <f>VLOOKUP(A5,'[5]Лист  1'!M$1:N$65536,2,FALSE)</f>
        <v>#N/A</v>
      </c>
      <c r="C24" s="21"/>
      <c r="D24" s="22"/>
      <c r="E24" s="26">
        <v>16.96</v>
      </c>
      <c r="F24" s="256">
        <v>18.985023999999999</v>
      </c>
    </row>
    <row r="25" spans="1:7" x14ac:dyDescent="0.25">
      <c r="A25" s="220" t="s">
        <v>320</v>
      </c>
      <c r="B25" s="28" t="e">
        <f>VLOOKUP(A5,'[5]Лист  1'!M$1:O$65536,3,FALSE)</f>
        <v>#N/A</v>
      </c>
      <c r="C25" s="21"/>
      <c r="D25" s="22"/>
    </row>
    <row r="26" spans="1:7" hidden="1" x14ac:dyDescent="0.25">
      <c r="A26" s="220" t="s">
        <v>321</v>
      </c>
      <c r="B26" s="28"/>
      <c r="C26" s="21"/>
      <c r="D26" s="22"/>
    </row>
    <row r="27" spans="1:7" hidden="1" x14ac:dyDescent="0.25">
      <c r="A27" s="220" t="s">
        <v>248</v>
      </c>
      <c r="B27" s="28">
        <f>B26</f>
        <v>0</v>
      </c>
      <c r="C27" s="21"/>
      <c r="D27" s="22"/>
    </row>
    <row r="28" spans="1:7" x14ac:dyDescent="0.25">
      <c r="A28" s="220" t="s">
        <v>399</v>
      </c>
      <c r="B28" s="28">
        <v>7611.96</v>
      </c>
      <c r="C28" s="21"/>
      <c r="D28" s="22"/>
    </row>
    <row r="29" spans="1:7" hidden="1" x14ac:dyDescent="0.25">
      <c r="A29" s="220" t="s">
        <v>250</v>
      </c>
      <c r="B29" s="23"/>
      <c r="C29" s="21"/>
      <c r="D29" s="22"/>
    </row>
    <row r="30" spans="1:7" x14ac:dyDescent="0.25">
      <c r="A30" s="221"/>
      <c r="B30" s="23"/>
      <c r="C30" s="21"/>
      <c r="D30" s="22"/>
    </row>
    <row r="31" spans="1:7" x14ac:dyDescent="0.25">
      <c r="A31" s="222" t="s">
        <v>251</v>
      </c>
      <c r="B31" s="23"/>
      <c r="C31" s="21"/>
      <c r="D31" s="22"/>
    </row>
    <row r="32" spans="1:7" s="34" customFormat="1" ht="31.5" x14ac:dyDescent="0.25">
      <c r="A32" s="223" t="s">
        <v>252</v>
      </c>
      <c r="B32" s="208">
        <f>SUM(B33:B39)</f>
        <v>176356.4</v>
      </c>
      <c r="C32" s="21"/>
      <c r="D32" s="22"/>
      <c r="E32" s="33" t="e">
        <f>(B84-B24-B26)/1.2/1.03</f>
        <v>#N/A</v>
      </c>
      <c r="F32" s="33" t="e">
        <f>(#REF!-#REF!-#REF!)/1.2/1.03</f>
        <v>#REF!</v>
      </c>
      <c r="G32" s="33" t="e">
        <f>(#REF!-#REF!-#REF!)/1.2/1.03</f>
        <v>#REF!</v>
      </c>
    </row>
    <row r="33" spans="1:7" x14ac:dyDescent="0.25">
      <c r="A33" s="224" t="s">
        <v>253</v>
      </c>
      <c r="B33" s="23">
        <f>58000*1.12</f>
        <v>64960.000000000007</v>
      </c>
      <c r="C33" s="21"/>
      <c r="D33" s="22">
        <v>34944.370000000003</v>
      </c>
    </row>
    <row r="34" spans="1:7" ht="16.5" x14ac:dyDescent="0.25">
      <c r="A34" s="249" t="s">
        <v>443</v>
      </c>
      <c r="B34" s="23">
        <f>18871.3+25429.98+58076.43</f>
        <v>102377.70999999999</v>
      </c>
      <c r="C34" s="21"/>
      <c r="D34" s="22">
        <v>0</v>
      </c>
    </row>
    <row r="35" spans="1:7" ht="16.5" x14ac:dyDescent="0.25">
      <c r="A35" s="249" t="s">
        <v>449</v>
      </c>
      <c r="B35" s="248">
        <v>9018.69</v>
      </c>
      <c r="C35" s="21" t="s">
        <v>234</v>
      </c>
      <c r="D35" s="22">
        <v>0</v>
      </c>
    </row>
    <row r="36" spans="1:7" ht="20.45" hidden="1" customHeight="1" x14ac:dyDescent="0.25">
      <c r="A36" s="224" t="s">
        <v>258</v>
      </c>
      <c r="B36" s="23">
        <v>0</v>
      </c>
      <c r="C36" s="21"/>
      <c r="D36" s="22">
        <v>0</v>
      </c>
    </row>
    <row r="37" spans="1:7" hidden="1" x14ac:dyDescent="0.25">
      <c r="A37" s="224" t="s">
        <v>339</v>
      </c>
      <c r="B37" s="20"/>
      <c r="C37" s="21"/>
      <c r="D37" s="22">
        <v>0</v>
      </c>
    </row>
    <row r="38" spans="1:7" hidden="1" x14ac:dyDescent="0.25">
      <c r="A38" s="224" t="s">
        <v>456</v>
      </c>
      <c r="B38" s="23"/>
      <c r="C38" s="21"/>
      <c r="D38" s="22"/>
    </row>
    <row r="39" spans="1:7" hidden="1" x14ac:dyDescent="0.25">
      <c r="A39" s="35" t="s">
        <v>343</v>
      </c>
      <c r="B39" s="20"/>
      <c r="C39" s="21"/>
      <c r="D39" s="22"/>
    </row>
    <row r="40" spans="1:7" s="34" customFormat="1" ht="47.25" x14ac:dyDescent="0.25">
      <c r="A40" s="186" t="s">
        <v>401</v>
      </c>
      <c r="B40" s="32">
        <f>SUM(B41:B43)</f>
        <v>19093.638577324848</v>
      </c>
      <c r="C40" s="21"/>
      <c r="D40" s="22"/>
      <c r="E40" s="33"/>
      <c r="F40" s="33"/>
      <c r="G40" s="33"/>
    </row>
    <row r="41" spans="1:7" x14ac:dyDescent="0.25">
      <c r="A41" s="35" t="s">
        <v>262</v>
      </c>
      <c r="B41" s="23"/>
      <c r="C41" s="39"/>
      <c r="D41" s="40"/>
    </row>
    <row r="42" spans="1:7" x14ac:dyDescent="0.25">
      <c r="A42" s="224" t="s">
        <v>263</v>
      </c>
      <c r="B42" s="23"/>
      <c r="C42" s="39"/>
      <c r="D42" s="40"/>
    </row>
    <row r="43" spans="1:7" x14ac:dyDescent="0.25">
      <c r="A43" s="41" t="s">
        <v>264</v>
      </c>
      <c r="B43" s="23">
        <f>'[6]32тарифы'!D163*B15+210.52+800*1.12</f>
        <v>19093.638577324848</v>
      </c>
      <c r="C43" s="39"/>
      <c r="D43" s="40"/>
      <c r="E43" s="3" t="s">
        <v>457</v>
      </c>
    </row>
    <row r="44" spans="1:7" s="8" customFormat="1" x14ac:dyDescent="0.25">
      <c r="A44" s="31" t="s">
        <v>265</v>
      </c>
      <c r="B44" s="208">
        <f>SUM(B45:B63)</f>
        <v>63961.52</v>
      </c>
      <c r="C44" s="21"/>
      <c r="D44" s="22"/>
    </row>
    <row r="45" spans="1:7" x14ac:dyDescent="0.25">
      <c r="A45" s="224" t="s">
        <v>326</v>
      </c>
      <c r="B45" s="23">
        <v>3609.12</v>
      </c>
      <c r="C45" s="21"/>
      <c r="D45" s="22"/>
      <c r="E45" s="3" t="s">
        <v>267</v>
      </c>
    </row>
    <row r="46" spans="1:7" x14ac:dyDescent="0.25">
      <c r="A46" s="224" t="s">
        <v>317</v>
      </c>
      <c r="B46" s="23">
        <v>4382.46</v>
      </c>
      <c r="C46" s="21"/>
      <c r="D46" s="22"/>
      <c r="E46" s="3" t="s">
        <v>269</v>
      </c>
    </row>
    <row r="47" spans="1:7" hidden="1" x14ac:dyDescent="0.25">
      <c r="A47" s="42" t="s">
        <v>270</v>
      </c>
      <c r="B47" s="23">
        <v>0</v>
      </c>
      <c r="C47" s="21"/>
      <c r="D47" s="22"/>
    </row>
    <row r="48" spans="1:7" hidden="1" x14ac:dyDescent="0.25">
      <c r="A48" s="42" t="s">
        <v>271</v>
      </c>
      <c r="B48" s="23">
        <v>0</v>
      </c>
      <c r="C48" s="21"/>
      <c r="D48" s="22"/>
    </row>
    <row r="49" spans="1:5" hidden="1" x14ac:dyDescent="0.25">
      <c r="A49" s="143" t="s">
        <v>412</v>
      </c>
      <c r="B49" s="23"/>
      <c r="C49" s="21"/>
      <c r="D49" s="22"/>
    </row>
    <row r="50" spans="1:5" hidden="1" x14ac:dyDescent="0.25">
      <c r="A50" s="143" t="s">
        <v>366</v>
      </c>
      <c r="B50" s="20"/>
      <c r="C50" s="21"/>
      <c r="D50" s="22">
        <v>105.14</v>
      </c>
    </row>
    <row r="51" spans="1:5" hidden="1" x14ac:dyDescent="0.25">
      <c r="A51" s="143" t="s">
        <v>351</v>
      </c>
      <c r="B51" s="23"/>
      <c r="C51" s="21">
        <v>1</v>
      </c>
      <c r="D51" s="22">
        <v>522.99</v>
      </c>
    </row>
    <row r="52" spans="1:5" x14ac:dyDescent="0.25">
      <c r="A52" s="143" t="s">
        <v>359</v>
      </c>
      <c r="B52" s="23">
        <v>8133.61</v>
      </c>
      <c r="C52" s="21">
        <v>1</v>
      </c>
      <c r="D52" s="44">
        <v>657.53</v>
      </c>
    </row>
    <row r="53" spans="1:5" hidden="1" x14ac:dyDescent="0.25">
      <c r="A53" s="143" t="s">
        <v>346</v>
      </c>
      <c r="B53" s="20"/>
      <c r="C53" s="21"/>
      <c r="D53" s="44"/>
    </row>
    <row r="54" spans="1:5" hidden="1" x14ac:dyDescent="0.25">
      <c r="A54" s="42" t="s">
        <v>365</v>
      </c>
      <c r="B54" s="20"/>
      <c r="C54" s="21">
        <v>0</v>
      </c>
      <c r="D54" s="22">
        <f>10695.76/1.18</f>
        <v>9064.203389830509</v>
      </c>
      <c r="E54" s="227">
        <f>B78+B44-B57+666.66</f>
        <v>87550.45</v>
      </c>
    </row>
    <row r="55" spans="1:5" hidden="1" x14ac:dyDescent="0.25">
      <c r="A55" s="143" t="s">
        <v>454</v>
      </c>
      <c r="B55" s="23"/>
      <c r="C55" s="21">
        <v>0</v>
      </c>
      <c r="D55" s="22">
        <f>2300/1.18</f>
        <v>1949.1525423728815</v>
      </c>
    </row>
    <row r="56" spans="1:5" hidden="1" x14ac:dyDescent="0.25">
      <c r="A56" s="143" t="s">
        <v>350</v>
      </c>
      <c r="B56" s="23">
        <v>0</v>
      </c>
      <c r="C56" s="21">
        <v>0</v>
      </c>
      <c r="D56" s="22">
        <v>0</v>
      </c>
    </row>
    <row r="57" spans="1:5" hidden="1" x14ac:dyDescent="0.25">
      <c r="A57" s="143" t="s">
        <v>279</v>
      </c>
      <c r="B57" s="23">
        <f>B13*'[6]32тарифы'!D184</f>
        <v>0</v>
      </c>
      <c r="C57" s="21"/>
      <c r="D57" s="22"/>
    </row>
    <row r="58" spans="1:5" hidden="1" x14ac:dyDescent="0.25">
      <c r="A58" s="35" t="s">
        <v>280</v>
      </c>
      <c r="B58" s="105">
        <v>0</v>
      </c>
      <c r="C58" s="21"/>
      <c r="D58" s="22"/>
    </row>
    <row r="59" spans="1:5" hidden="1" x14ac:dyDescent="0.25">
      <c r="A59" s="35" t="s">
        <v>281</v>
      </c>
      <c r="B59" s="105">
        <v>0</v>
      </c>
      <c r="C59" s="21"/>
      <c r="D59" s="22">
        <v>0</v>
      </c>
    </row>
    <row r="60" spans="1:5" ht="15.75" customHeight="1" x14ac:dyDescent="0.25">
      <c r="A60" s="35" t="s">
        <v>542</v>
      </c>
      <c r="B60" s="23">
        <v>4200</v>
      </c>
      <c r="C60" s="21"/>
      <c r="D60" s="22">
        <v>0</v>
      </c>
    </row>
    <row r="61" spans="1:5" x14ac:dyDescent="0.25">
      <c r="A61" s="187" t="s">
        <v>327</v>
      </c>
      <c r="B61" s="112">
        <v>30082.71</v>
      </c>
      <c r="C61" s="46">
        <v>1</v>
      </c>
      <c r="D61" s="22">
        <v>0</v>
      </c>
    </row>
    <row r="62" spans="1:5" x14ac:dyDescent="0.25">
      <c r="A62" s="224" t="s">
        <v>282</v>
      </c>
      <c r="B62" s="112">
        <v>32.33</v>
      </c>
      <c r="C62" s="46">
        <v>80</v>
      </c>
      <c r="D62" s="22">
        <v>2</v>
      </c>
      <c r="E62" s="3">
        <v>1</v>
      </c>
    </row>
    <row r="63" spans="1:5" ht="16.5" x14ac:dyDescent="0.25">
      <c r="A63" s="249" t="s">
        <v>540</v>
      </c>
      <c r="B63" s="229">
        <v>13521.29</v>
      </c>
      <c r="C63" s="48"/>
      <c r="D63" s="40">
        <v>0</v>
      </c>
    </row>
    <row r="64" spans="1:5" s="8" customFormat="1" x14ac:dyDescent="0.25">
      <c r="A64" s="189" t="s">
        <v>286</v>
      </c>
      <c r="B64" s="32">
        <f>SUM(B65:B72)</f>
        <v>148913.28644086947</v>
      </c>
      <c r="C64" s="39"/>
      <c r="D64" s="40"/>
    </row>
    <row r="65" spans="1:4" hidden="1" x14ac:dyDescent="0.25">
      <c r="A65" s="35" t="s">
        <v>287</v>
      </c>
      <c r="B65" s="23">
        <v>0</v>
      </c>
      <c r="C65" s="39"/>
      <c r="D65" s="40"/>
    </row>
    <row r="66" spans="1:4" x14ac:dyDescent="0.25">
      <c r="A66" s="224" t="s">
        <v>288</v>
      </c>
      <c r="B66" s="23">
        <f>66826*1.04*1.12</f>
        <v>77838.924800000023</v>
      </c>
      <c r="C66" s="39"/>
      <c r="D66" s="40"/>
    </row>
    <row r="67" spans="1:4" hidden="1" x14ac:dyDescent="0.25">
      <c r="A67" s="35" t="s">
        <v>289</v>
      </c>
      <c r="B67" s="23">
        <v>0</v>
      </c>
      <c r="C67" s="39"/>
      <c r="D67" s="40"/>
    </row>
    <row r="68" spans="1:4" x14ac:dyDescent="0.25">
      <c r="A68" s="226" t="s">
        <v>290</v>
      </c>
      <c r="B68" s="232">
        <f>('[6]32тарифы'!D164*B13)/12*8*1.12</f>
        <v>2790.8243934814645</v>
      </c>
      <c r="C68" s="39"/>
      <c r="D68" s="40"/>
    </row>
    <row r="69" spans="1:4" x14ac:dyDescent="0.25">
      <c r="A69" s="163" t="s">
        <v>291</v>
      </c>
      <c r="B69" s="20">
        <f>('[6]32тарифы'!D165*B15)/12*8*1.12</f>
        <v>14454.14483023341</v>
      </c>
      <c r="C69" s="39"/>
      <c r="D69" s="40"/>
    </row>
    <row r="70" spans="1:4" x14ac:dyDescent="0.25">
      <c r="A70" s="226" t="s">
        <v>292</v>
      </c>
      <c r="B70" s="23">
        <f>23085*1.04*1.12</f>
        <v>26889.408000000003</v>
      </c>
      <c r="C70" s="39"/>
      <c r="D70" s="40"/>
    </row>
    <row r="71" spans="1:4" x14ac:dyDescent="0.25">
      <c r="A71" s="226" t="s">
        <v>293</v>
      </c>
      <c r="B71" s="23">
        <f>3917*1.04*1.12</f>
        <v>4562.5216000000009</v>
      </c>
      <c r="C71" s="39"/>
      <c r="D71" s="40"/>
    </row>
    <row r="72" spans="1:4" x14ac:dyDescent="0.25">
      <c r="A72" s="226" t="s">
        <v>294</v>
      </c>
      <c r="B72" s="23">
        <f>('[6]32тарифы'!D167*B15)+('[6]32тарифы'!D187*B15)/12*8*1.12</f>
        <v>22377.46281715457</v>
      </c>
      <c r="C72" s="39"/>
      <c r="D72" s="40"/>
    </row>
    <row r="73" spans="1:4" ht="63" x14ac:dyDescent="0.25">
      <c r="A73" s="233" t="s">
        <v>295</v>
      </c>
      <c r="B73" s="208">
        <f>SUM(B74:B74)</f>
        <v>115379.04000000001</v>
      </c>
      <c r="C73" s="39"/>
      <c r="D73" s="40"/>
    </row>
    <row r="74" spans="1:4" x14ac:dyDescent="0.25">
      <c r="A74" s="226" t="s">
        <v>296</v>
      </c>
      <c r="B74" s="23">
        <f>103017*1.12</f>
        <v>115379.04000000001</v>
      </c>
      <c r="C74" s="39"/>
      <c r="D74" s="40"/>
    </row>
    <row r="75" spans="1:4" s="8" customFormat="1" x14ac:dyDescent="0.25">
      <c r="A75" s="230" t="s">
        <v>297</v>
      </c>
      <c r="B75" s="208">
        <f>SUM(B76:B79)</f>
        <v>82438.120205369298</v>
      </c>
      <c r="C75" s="39"/>
      <c r="D75" s="40"/>
    </row>
    <row r="76" spans="1:4" x14ac:dyDescent="0.25">
      <c r="A76" s="234" t="s">
        <v>298</v>
      </c>
      <c r="B76" s="23">
        <f>'[6]32тарифы'!D170*B15/12*8*1.12</f>
        <v>54547.478617433073</v>
      </c>
      <c r="C76" s="39"/>
      <c r="D76" s="40"/>
    </row>
    <row r="77" spans="1:4" hidden="1" x14ac:dyDescent="0.25">
      <c r="A77" s="234" t="s">
        <v>299</v>
      </c>
      <c r="B77" s="23">
        <f>(B26/1.2)*30%</f>
        <v>0</v>
      </c>
      <c r="C77" s="39"/>
      <c r="D77" s="40"/>
    </row>
    <row r="78" spans="1:4" x14ac:dyDescent="0.25">
      <c r="A78" s="235" t="s">
        <v>300</v>
      </c>
      <c r="B78" s="23">
        <f>13488.1+9434.17</f>
        <v>22922.27</v>
      </c>
      <c r="C78" s="39"/>
      <c r="D78" s="40"/>
    </row>
    <row r="79" spans="1:4" x14ac:dyDescent="0.25">
      <c r="A79" s="235" t="s">
        <v>301</v>
      </c>
      <c r="B79" s="232">
        <f>'[6]32тарифы'!D173*B13/12*8*1.12</f>
        <v>4968.3715879362262</v>
      </c>
      <c r="C79" s="39"/>
      <c r="D79" s="40"/>
    </row>
    <row r="80" spans="1:4" x14ac:dyDescent="0.25">
      <c r="A80" s="236" t="s">
        <v>302</v>
      </c>
      <c r="B80" s="28">
        <f>B32+B40+B44+B64+B73+B75</f>
        <v>606142.00522356364</v>
      </c>
      <c r="C80" s="39"/>
      <c r="D80" s="40"/>
    </row>
    <row r="81" spans="1:4" x14ac:dyDescent="0.25">
      <c r="A81" s="237" t="s">
        <v>303</v>
      </c>
      <c r="B81" s="23">
        <f>B80*0.03</f>
        <v>18184.260156706907</v>
      </c>
      <c r="C81" s="39"/>
      <c r="D81" s="40"/>
    </row>
    <row r="82" spans="1:4" s="34" customFormat="1" x14ac:dyDescent="0.25">
      <c r="A82" s="238" t="s">
        <v>304</v>
      </c>
      <c r="B82" s="208">
        <f>B80+B81</f>
        <v>624326.26538027055</v>
      </c>
      <c r="C82" s="39"/>
      <c r="D82" s="40"/>
    </row>
    <row r="83" spans="1:4" ht="16.5" thickBot="1" x14ac:dyDescent="0.3">
      <c r="A83" s="239" t="s">
        <v>305</v>
      </c>
      <c r="B83" s="240">
        <f>B82*0.2</f>
        <v>124865.25307605411</v>
      </c>
      <c r="C83" s="39"/>
      <c r="D83" s="40"/>
    </row>
    <row r="84" spans="1:4" s="8" customFormat="1" ht="16.5" thickBot="1" x14ac:dyDescent="0.3">
      <c r="A84" s="62" t="s">
        <v>306</v>
      </c>
      <c r="B84" s="66">
        <f>B82+B83</f>
        <v>749191.5184563247</v>
      </c>
      <c r="C84" s="60"/>
      <c r="D84" s="61"/>
    </row>
    <row r="85" spans="1:4" s="8" customFormat="1" ht="16.5" thickBot="1" x14ac:dyDescent="0.3">
      <c r="A85" s="62" t="s">
        <v>307</v>
      </c>
      <c r="B85" s="66" t="e">
        <f>B10+B24+B26+B28+B29-B84</f>
        <v>#N/A</v>
      </c>
      <c r="C85" s="63"/>
      <c r="D85" s="63"/>
    </row>
    <row r="86" spans="1:4" s="8" customFormat="1" ht="16.5" thickBot="1" x14ac:dyDescent="0.3">
      <c r="A86" s="64" t="s">
        <v>308</v>
      </c>
      <c r="B86" s="66" t="e">
        <f>B10+B25+B27+B28+B29-B84</f>
        <v>#N/A</v>
      </c>
      <c r="C86" s="63"/>
      <c r="D86" s="63"/>
    </row>
    <row r="87" spans="1:4" s="8" customFormat="1" ht="16.5" hidden="1" thickBot="1" x14ac:dyDescent="0.3">
      <c r="A87" s="241" t="s">
        <v>309</v>
      </c>
      <c r="B87" s="296" t="e">
        <f>B11+B24-B25</f>
        <v>#N/A</v>
      </c>
      <c r="C87" s="63"/>
      <c r="D87" s="63"/>
    </row>
    <row r="88" spans="1:4" x14ac:dyDescent="0.25">
      <c r="B88" s="227"/>
    </row>
    <row r="89" spans="1:4" ht="10.5" customHeight="1" x14ac:dyDescent="0.25">
      <c r="A89" s="69"/>
    </row>
    <row r="90" spans="1:4" x14ac:dyDescent="0.25">
      <c r="A90" s="333" t="s">
        <v>407</v>
      </c>
      <c r="B90" s="333"/>
    </row>
    <row r="91" spans="1:4" x14ac:dyDescent="0.25">
      <c r="A91" s="69"/>
    </row>
    <row r="92" spans="1:4" hidden="1" x14ac:dyDescent="0.25">
      <c r="A92" s="342" t="s">
        <v>408</v>
      </c>
      <c r="B92" s="342"/>
      <c r="C92" s="72"/>
    </row>
    <row r="93" spans="1:4" x14ac:dyDescent="0.25">
      <c r="A93"/>
      <c r="B93"/>
      <c r="C93"/>
      <c r="D93"/>
    </row>
    <row r="94" spans="1:4" x14ac:dyDescent="0.25">
      <c r="B94" s="70"/>
    </row>
  </sheetData>
  <autoFilter ref="A31:G87" xr:uid="{00000000-0009-0000-0000-00001C000000}">
    <filterColumn colId="1">
      <filters>
        <filter val="1 897,35"/>
        <filter val="11 125,13"/>
        <filter val="12 812,11"/>
        <filter val="-129 355,72"/>
        <filter val="14 136,38"/>
        <filter val="170 355,03"/>
        <filter val="2 419,95"/>
        <filter val="20 036,27"/>
        <filter val="20 449,71"/>
        <filter val="26 248,78"/>
        <filter val="3 792,56"/>
        <filter val="33 764,92"/>
        <filter val="4 570,32"/>
        <filter val="427 070,31"/>
        <filter val="439 882,42"/>
        <filter val="44 079,82"/>
        <filter val="44 200,89"/>
        <filter val="46 931,87"/>
        <filter val="5 115,88"/>
        <filter val="5 740,21"/>
        <filter val="527 858,91"/>
        <filter val="53 399,54"/>
        <filter val="54 934,52"/>
        <filter val="62 985,27"/>
        <filter val="66 825,93"/>
        <filter val="-66 951,45"/>
        <filter val="70 001,87"/>
        <filter val="8 697,94"/>
        <filter val="87 976,48"/>
        <filter val="9 493,73"/>
        <filter val="9 951,47"/>
      </filters>
    </filterColumn>
  </autoFilter>
  <mergeCells count="9">
    <mergeCell ref="D8:D9"/>
    <mergeCell ref="A90:B90"/>
    <mergeCell ref="A92:B92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8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pageSetUpPr fitToPage="1"/>
  </sheetPr>
  <dimension ref="A1:G94"/>
  <sheetViews>
    <sheetView view="pageBreakPreview" topLeftCell="A40" zoomScale="80" zoomScaleNormal="100" zoomScaleSheetLayoutView="80" workbookViewId="0">
      <selection activeCell="B80" sqref="B80"/>
    </sheetView>
  </sheetViews>
  <sheetFormatPr defaultRowHeight="15.75" x14ac:dyDescent="0.25"/>
  <cols>
    <col min="1" max="1" width="91.5703125" style="3" customWidth="1"/>
    <col min="2" max="2" width="15" style="70" customWidth="1"/>
    <col min="3" max="4" width="13.85546875" style="3" customWidth="1"/>
    <col min="5" max="5" width="14.140625" style="3" customWidth="1"/>
    <col min="6" max="6" width="11.140625" style="3" customWidth="1"/>
    <col min="7" max="7" width="12.42578125" style="3" bestFit="1" customWidth="1"/>
    <col min="8" max="16384" width="9.140625" style="3"/>
  </cols>
  <sheetData>
    <row r="1" spans="1:4" ht="16.5" customHeight="1" x14ac:dyDescent="0.25">
      <c r="A1" s="313" t="s">
        <v>224</v>
      </c>
      <c r="B1" s="314"/>
    </row>
    <row r="2" spans="1:4" ht="16.5" x14ac:dyDescent="0.25">
      <c r="A2" s="315" t="s">
        <v>225</v>
      </c>
      <c r="B2" s="316"/>
    </row>
    <row r="3" spans="1:4" ht="16.5" x14ac:dyDescent="0.25">
      <c r="A3" s="315" t="s">
        <v>226</v>
      </c>
      <c r="B3" s="316"/>
    </row>
    <row r="4" spans="1:4" x14ac:dyDescent="0.25">
      <c r="A4" s="4" t="s">
        <v>516</v>
      </c>
      <c r="B4" s="5"/>
    </row>
    <row r="5" spans="1:4" x14ac:dyDescent="0.25">
      <c r="A5" s="4" t="s">
        <v>2</v>
      </c>
      <c r="B5" s="6"/>
    </row>
    <row r="6" spans="1:4" ht="19.5" customHeight="1" x14ac:dyDescent="0.25">
      <c r="A6" s="4"/>
      <c r="B6" s="7"/>
      <c r="C6" s="8"/>
    </row>
    <row r="7" spans="1:4" ht="16.5" thickBot="1" x14ac:dyDescent="0.3">
      <c r="A7" s="9"/>
      <c r="B7" s="7"/>
      <c r="C7" s="8"/>
    </row>
    <row r="8" spans="1:4" ht="15.75" customHeight="1" x14ac:dyDescent="0.25">
      <c r="A8" s="317" t="s">
        <v>227</v>
      </c>
      <c r="B8" s="319" t="s">
        <v>228</v>
      </c>
      <c r="C8" s="307" t="s">
        <v>229</v>
      </c>
      <c r="D8" s="307" t="s">
        <v>230</v>
      </c>
    </row>
    <row r="9" spans="1:4" ht="28.5" customHeight="1" thickBot="1" x14ac:dyDescent="0.3">
      <c r="A9" s="318"/>
      <c r="B9" s="320"/>
      <c r="C9" s="308"/>
      <c r="D9" s="308"/>
    </row>
    <row r="10" spans="1:4" ht="16.5" thickBot="1" x14ac:dyDescent="0.3">
      <c r="A10" s="10" t="s">
        <v>231</v>
      </c>
      <c r="B10" s="301">
        <f>VLOOKUP(A5,мкд!S:T,2,FALSE)</f>
        <v>-44045.2</v>
      </c>
      <c r="C10" s="12"/>
      <c r="D10" s="12"/>
    </row>
    <row r="11" spans="1:4" ht="16.5" hidden="1" thickBot="1" x14ac:dyDescent="0.3">
      <c r="A11" s="13" t="s">
        <v>232</v>
      </c>
      <c r="B11" s="11"/>
      <c r="C11" s="14"/>
      <c r="D11" s="14"/>
    </row>
    <row r="12" spans="1:4" x14ac:dyDescent="0.25">
      <c r="A12" s="15" t="s">
        <v>233</v>
      </c>
      <c r="B12" s="16"/>
      <c r="C12" s="17" t="s">
        <v>234</v>
      </c>
      <c r="D12" s="18" t="s">
        <v>234</v>
      </c>
    </row>
    <row r="13" spans="1:4" hidden="1" x14ac:dyDescent="0.25">
      <c r="A13" s="19" t="s">
        <v>235</v>
      </c>
      <c r="B13" s="20">
        <v>1137.9000000000001</v>
      </c>
      <c r="C13" s="21" t="s">
        <v>234</v>
      </c>
      <c r="D13" s="22" t="s">
        <v>234</v>
      </c>
    </row>
    <row r="14" spans="1:4" hidden="1" x14ac:dyDescent="0.25">
      <c r="A14" s="19" t="s">
        <v>236</v>
      </c>
      <c r="B14" s="20">
        <v>0</v>
      </c>
      <c r="C14" s="21"/>
      <c r="D14" s="22"/>
    </row>
    <row r="15" spans="1:4" x14ac:dyDescent="0.25">
      <c r="A15" s="19" t="s">
        <v>237</v>
      </c>
      <c r="B15" s="20">
        <f>B13+B14</f>
        <v>1137.9000000000001</v>
      </c>
      <c r="C15" s="21"/>
      <c r="D15" s="22"/>
    </row>
    <row r="16" spans="1:4" x14ac:dyDescent="0.25">
      <c r="A16" s="19" t="s">
        <v>238</v>
      </c>
      <c r="B16" s="20">
        <f>1343.9+685.7/3</f>
        <v>1572.4666666666667</v>
      </c>
      <c r="C16" s="21" t="s">
        <v>234</v>
      </c>
      <c r="D16" s="22" t="s">
        <v>234</v>
      </c>
    </row>
    <row r="17" spans="1:7" hidden="1" x14ac:dyDescent="0.25">
      <c r="A17" s="19" t="s">
        <v>239</v>
      </c>
      <c r="B17" s="23">
        <v>0</v>
      </c>
      <c r="C17" s="21" t="s">
        <v>234</v>
      </c>
      <c r="D17" s="22" t="s">
        <v>234</v>
      </c>
    </row>
    <row r="18" spans="1:7" hidden="1" x14ac:dyDescent="0.25">
      <c r="A18" s="19" t="s">
        <v>240</v>
      </c>
      <c r="B18" s="23">
        <v>24.4</v>
      </c>
      <c r="C18" s="21" t="s">
        <v>234</v>
      </c>
      <c r="D18" s="22" t="s">
        <v>234</v>
      </c>
    </row>
    <row r="19" spans="1:7" hidden="1" x14ac:dyDescent="0.25">
      <c r="A19" s="19" t="s">
        <v>241</v>
      </c>
      <c r="B19" s="23">
        <v>0</v>
      </c>
      <c r="C19" s="21" t="s">
        <v>234</v>
      </c>
      <c r="D19" s="22" t="s">
        <v>234</v>
      </c>
    </row>
    <row r="20" spans="1:7" hidden="1" x14ac:dyDescent="0.25">
      <c r="A20" s="19" t="s">
        <v>242</v>
      </c>
      <c r="B20" s="23">
        <v>665.7</v>
      </c>
      <c r="C20" s="21"/>
      <c r="D20" s="22"/>
    </row>
    <row r="21" spans="1:7" hidden="1" x14ac:dyDescent="0.25">
      <c r="A21" s="19" t="s">
        <v>243</v>
      </c>
      <c r="B21" s="23">
        <v>0</v>
      </c>
      <c r="C21" s="21" t="s">
        <v>234</v>
      </c>
      <c r="D21" s="22" t="s">
        <v>234</v>
      </c>
    </row>
    <row r="22" spans="1:7" hidden="1" x14ac:dyDescent="0.25">
      <c r="A22" s="19" t="s">
        <v>244</v>
      </c>
      <c r="B22" s="23">
        <v>56</v>
      </c>
      <c r="C22" s="21"/>
      <c r="D22" s="22"/>
    </row>
    <row r="23" spans="1:7" x14ac:dyDescent="0.25">
      <c r="A23" s="19"/>
      <c r="B23" s="23"/>
      <c r="C23" s="21"/>
      <c r="D23" s="22"/>
      <c r="E23" s="3">
        <v>10</v>
      </c>
      <c r="F23" s="3">
        <v>2</v>
      </c>
    </row>
    <row r="24" spans="1:7" x14ac:dyDescent="0.25">
      <c r="A24" s="24" t="s">
        <v>245</v>
      </c>
      <c r="B24" s="25">
        <f>VLOOKUP(A5,[1]Лист1!M$1:N$65536,2,FALSE)</f>
        <v>268635.89999999997</v>
      </c>
      <c r="C24" s="21"/>
      <c r="D24" s="22"/>
      <c r="E24" s="26">
        <v>19.29</v>
      </c>
      <c r="F24" s="27">
        <v>21.593225999999998</v>
      </c>
    </row>
    <row r="25" spans="1:7" x14ac:dyDescent="0.25">
      <c r="A25" s="24" t="s">
        <v>246</v>
      </c>
      <c r="B25" s="25">
        <f>VLOOKUP(A5,[1]Лист1!M$1:O$65536,3,FALSE)</f>
        <v>265961.95</v>
      </c>
      <c r="C25" s="21"/>
      <c r="D25" s="22"/>
    </row>
    <row r="26" spans="1:7" hidden="1" x14ac:dyDescent="0.25">
      <c r="A26" s="24" t="s">
        <v>247</v>
      </c>
      <c r="B26" s="25"/>
      <c r="C26" s="21"/>
      <c r="D26" s="22"/>
    </row>
    <row r="27" spans="1:7" hidden="1" x14ac:dyDescent="0.25">
      <c r="A27" s="24" t="s">
        <v>248</v>
      </c>
      <c r="B27" s="28">
        <f>B26</f>
        <v>0</v>
      </c>
      <c r="C27" s="21"/>
      <c r="D27" s="22"/>
    </row>
    <row r="28" spans="1:7" hidden="1" x14ac:dyDescent="0.25">
      <c r="A28" s="24" t="s">
        <v>249</v>
      </c>
      <c r="B28" s="25"/>
      <c r="C28" s="21"/>
      <c r="D28" s="22"/>
    </row>
    <row r="29" spans="1:7" hidden="1" x14ac:dyDescent="0.25">
      <c r="A29" s="24" t="s">
        <v>250</v>
      </c>
      <c r="B29" s="23"/>
      <c r="C29" s="21"/>
      <c r="D29" s="22"/>
    </row>
    <row r="30" spans="1:7" x14ac:dyDescent="0.25">
      <c r="A30" s="29"/>
      <c r="B30" s="20"/>
      <c r="C30" s="21"/>
      <c r="D30" s="22"/>
    </row>
    <row r="31" spans="1:7" x14ac:dyDescent="0.25">
      <c r="A31" s="30" t="s">
        <v>251</v>
      </c>
      <c r="B31" s="20"/>
      <c r="C31" s="21"/>
      <c r="D31" s="22"/>
    </row>
    <row r="32" spans="1:7" s="34" customFormat="1" ht="31.5" x14ac:dyDescent="0.25">
      <c r="A32" s="31" t="s">
        <v>252</v>
      </c>
      <c r="B32" s="32">
        <f>SUM(B33:B41)</f>
        <v>78773.900000000009</v>
      </c>
      <c r="C32" s="21"/>
      <c r="D32" s="22"/>
      <c r="E32" s="33">
        <f>(B24-B86)/1.2/1.03</f>
        <v>-92169.689842951528</v>
      </c>
      <c r="F32" s="33" t="e">
        <f>(#REF!-#REF!)/1.2/1.03</f>
        <v>#REF!</v>
      </c>
      <c r="G32" s="33" t="e">
        <f>(#REF!-#REF!)/1.2/1.03</f>
        <v>#REF!</v>
      </c>
    </row>
    <row r="33" spans="1:7" x14ac:dyDescent="0.25">
      <c r="A33" s="35" t="s">
        <v>253</v>
      </c>
      <c r="B33" s="23">
        <v>19564</v>
      </c>
      <c r="C33" s="21"/>
      <c r="D33" s="22">
        <v>0</v>
      </c>
    </row>
    <row r="34" spans="1:7" hidden="1" x14ac:dyDescent="0.25">
      <c r="A34" s="35" t="s">
        <v>254</v>
      </c>
      <c r="B34" s="23">
        <v>0</v>
      </c>
      <c r="C34" s="21"/>
      <c r="D34" s="22">
        <v>0</v>
      </c>
    </row>
    <row r="35" spans="1:7" x14ac:dyDescent="0.25">
      <c r="A35" s="35" t="s">
        <v>255</v>
      </c>
      <c r="B35" s="20">
        <v>58707.040000000001</v>
      </c>
      <c r="C35" s="21"/>
      <c r="D35" s="22">
        <v>0</v>
      </c>
    </row>
    <row r="36" spans="1:7" hidden="1" x14ac:dyDescent="0.25">
      <c r="A36" s="35" t="s">
        <v>256</v>
      </c>
      <c r="B36" s="20"/>
      <c r="C36" s="21" t="s">
        <v>234</v>
      </c>
      <c r="D36" s="22">
        <v>0</v>
      </c>
    </row>
    <row r="37" spans="1:7" hidden="1" x14ac:dyDescent="0.25">
      <c r="A37" s="35" t="s">
        <v>257</v>
      </c>
      <c r="B37" s="23"/>
      <c r="C37" s="21"/>
      <c r="D37" s="22">
        <v>0</v>
      </c>
    </row>
    <row r="38" spans="1:7" hidden="1" x14ac:dyDescent="0.25">
      <c r="A38" s="35" t="s">
        <v>258</v>
      </c>
      <c r="B38" s="23">
        <v>0</v>
      </c>
      <c r="C38" s="21"/>
      <c r="D38" s="22">
        <v>0</v>
      </c>
    </row>
    <row r="39" spans="1:7" hidden="1" x14ac:dyDescent="0.25">
      <c r="A39" s="35" t="s">
        <v>259</v>
      </c>
      <c r="B39" s="23">
        <v>0</v>
      </c>
      <c r="C39" s="21"/>
      <c r="D39" s="22">
        <v>0</v>
      </c>
    </row>
    <row r="40" spans="1:7" x14ac:dyDescent="0.25">
      <c r="A40" s="36" t="s">
        <v>260</v>
      </c>
      <c r="B40" s="37">
        <v>502.86</v>
      </c>
      <c r="C40" s="21"/>
      <c r="D40" s="22"/>
    </row>
    <row r="41" spans="1:7" hidden="1" x14ac:dyDescent="0.25">
      <c r="A41" s="35" t="s">
        <v>253</v>
      </c>
      <c r="B41" s="38"/>
      <c r="C41" s="21"/>
      <c r="D41" s="22"/>
    </row>
    <row r="42" spans="1:7" s="34" customFormat="1" ht="47.25" x14ac:dyDescent="0.25">
      <c r="A42" s="31" t="s">
        <v>261</v>
      </c>
      <c r="B42" s="32">
        <f>SUM(B43:B45)</f>
        <v>7935.04</v>
      </c>
      <c r="C42" s="21"/>
      <c r="D42" s="22"/>
      <c r="E42" s="33"/>
      <c r="F42" s="33"/>
      <c r="G42" s="33"/>
    </row>
    <row r="43" spans="1:7" hidden="1" x14ac:dyDescent="0.25">
      <c r="A43" s="35" t="s">
        <v>262</v>
      </c>
      <c r="B43" s="20"/>
      <c r="C43" s="39"/>
      <c r="D43" s="40"/>
    </row>
    <row r="44" spans="1:7" x14ac:dyDescent="0.25">
      <c r="A44" s="35" t="s">
        <v>263</v>
      </c>
      <c r="B44" s="20">
        <v>813.04</v>
      </c>
      <c r="C44" s="39"/>
      <c r="D44" s="40"/>
    </row>
    <row r="45" spans="1:7" x14ac:dyDescent="0.25">
      <c r="A45" s="41" t="s">
        <v>264</v>
      </c>
      <c r="B45" s="20">
        <v>7122</v>
      </c>
      <c r="C45" s="39"/>
      <c r="D45" s="40"/>
    </row>
    <row r="46" spans="1:7" s="8" customFormat="1" x14ac:dyDescent="0.25">
      <c r="A46" s="31" t="s">
        <v>265</v>
      </c>
      <c r="B46" s="32">
        <f>SUM(B47:B65)</f>
        <v>16775.8</v>
      </c>
      <c r="C46" s="21"/>
      <c r="D46" s="22"/>
    </row>
    <row r="47" spans="1:7" x14ac:dyDescent="0.25">
      <c r="A47" s="35" t="s">
        <v>266</v>
      </c>
      <c r="B47" s="20">
        <v>102.48</v>
      </c>
      <c r="C47" s="21"/>
      <c r="D47" s="22"/>
      <c r="E47" s="3" t="s">
        <v>267</v>
      </c>
    </row>
    <row r="48" spans="1:7" x14ac:dyDescent="0.25">
      <c r="A48" s="35" t="s">
        <v>268</v>
      </c>
      <c r="B48" s="20">
        <v>124.44</v>
      </c>
      <c r="C48" s="21"/>
      <c r="D48" s="22"/>
      <c r="E48" s="3" t="s">
        <v>269</v>
      </c>
    </row>
    <row r="49" spans="1:5" hidden="1" x14ac:dyDescent="0.25">
      <c r="A49" s="42" t="s">
        <v>270</v>
      </c>
      <c r="B49" s="43">
        <v>0</v>
      </c>
      <c r="C49" s="21"/>
      <c r="D49" s="22"/>
    </row>
    <row r="50" spans="1:5" hidden="1" x14ac:dyDescent="0.25">
      <c r="A50" s="42" t="s">
        <v>271</v>
      </c>
      <c r="B50" s="43">
        <v>0</v>
      </c>
      <c r="C50" s="21"/>
      <c r="D50" s="22"/>
    </row>
    <row r="51" spans="1:5" hidden="1" x14ac:dyDescent="0.25">
      <c r="A51" s="42" t="s">
        <v>272</v>
      </c>
      <c r="B51" s="43">
        <v>0</v>
      </c>
      <c r="C51" s="21"/>
      <c r="D51" s="22"/>
    </row>
    <row r="52" spans="1:5" hidden="1" x14ac:dyDescent="0.25">
      <c r="A52" s="42" t="s">
        <v>273</v>
      </c>
      <c r="B52" s="43">
        <v>0</v>
      </c>
      <c r="C52" s="21"/>
      <c r="D52" s="22"/>
    </row>
    <row r="53" spans="1:5" hidden="1" x14ac:dyDescent="0.25">
      <c r="A53" s="42" t="s">
        <v>274</v>
      </c>
      <c r="B53" s="20">
        <v>0</v>
      </c>
      <c r="C53" s="21">
        <v>0</v>
      </c>
      <c r="D53" s="22">
        <v>522.99</v>
      </c>
    </row>
    <row r="54" spans="1:5" hidden="1" x14ac:dyDescent="0.25">
      <c r="A54" s="42" t="s">
        <v>275</v>
      </c>
      <c r="B54" s="20">
        <v>0</v>
      </c>
      <c r="C54" s="21"/>
      <c r="D54" s="44"/>
    </row>
    <row r="55" spans="1:5" hidden="1" x14ac:dyDescent="0.25">
      <c r="A55" s="42" t="s">
        <v>276</v>
      </c>
      <c r="B55" s="20">
        <v>0</v>
      </c>
      <c r="C55" s="21"/>
      <c r="D55" s="44"/>
    </row>
    <row r="56" spans="1:5" hidden="1" x14ac:dyDescent="0.25">
      <c r="A56" s="42" t="s">
        <v>277</v>
      </c>
      <c r="B56" s="20">
        <v>0</v>
      </c>
      <c r="C56" s="21">
        <v>0</v>
      </c>
      <c r="D56" s="22">
        <f>10695.76/1.18</f>
        <v>9064.203389830509</v>
      </c>
    </row>
    <row r="57" spans="1:5" hidden="1" x14ac:dyDescent="0.25">
      <c r="A57" s="42" t="s">
        <v>278</v>
      </c>
      <c r="B57" s="20"/>
      <c r="C57" s="21">
        <v>0</v>
      </c>
      <c r="D57" s="22">
        <f>2300/1.18</f>
        <v>1949.1525423728815</v>
      </c>
    </row>
    <row r="58" spans="1:5" hidden="1" x14ac:dyDescent="0.25">
      <c r="A58" s="42" t="s">
        <v>268</v>
      </c>
      <c r="B58" s="20"/>
      <c r="C58" s="21">
        <v>0</v>
      </c>
      <c r="D58" s="22">
        <v>0</v>
      </c>
    </row>
    <row r="59" spans="1:5" hidden="1" x14ac:dyDescent="0.25">
      <c r="A59" s="42" t="s">
        <v>279</v>
      </c>
      <c r="B59" s="20"/>
      <c r="C59" s="21"/>
      <c r="D59" s="22"/>
    </row>
    <row r="60" spans="1:5" hidden="1" x14ac:dyDescent="0.25">
      <c r="A60" s="35" t="s">
        <v>280</v>
      </c>
      <c r="B60" s="20">
        <v>0</v>
      </c>
      <c r="C60" s="21"/>
      <c r="D60" s="22"/>
    </row>
    <row r="61" spans="1:5" hidden="1" x14ac:dyDescent="0.25">
      <c r="A61" s="35" t="s">
        <v>281</v>
      </c>
      <c r="B61" s="20">
        <v>0</v>
      </c>
      <c r="C61" s="21"/>
      <c r="D61" s="22">
        <v>0</v>
      </c>
    </row>
    <row r="62" spans="1:5" x14ac:dyDescent="0.25">
      <c r="A62" s="35" t="s">
        <v>282</v>
      </c>
      <c r="B62" s="23">
        <v>688.6</v>
      </c>
      <c r="C62" s="21"/>
      <c r="D62" s="22">
        <v>0</v>
      </c>
    </row>
    <row r="63" spans="1:5" x14ac:dyDescent="0.25">
      <c r="A63" s="35" t="s">
        <v>283</v>
      </c>
      <c r="B63" s="45">
        <v>15860.28</v>
      </c>
      <c r="C63" s="46">
        <v>1</v>
      </c>
      <c r="D63" s="22">
        <v>0</v>
      </c>
    </row>
    <row r="64" spans="1:5" hidden="1" x14ac:dyDescent="0.25">
      <c r="A64" s="35" t="s">
        <v>284</v>
      </c>
      <c r="B64" s="47">
        <v>0</v>
      </c>
      <c r="C64" s="46">
        <v>30</v>
      </c>
      <c r="D64" s="22">
        <v>1</v>
      </c>
      <c r="E64" s="3">
        <v>1</v>
      </c>
    </row>
    <row r="65" spans="1:4" hidden="1" x14ac:dyDescent="0.25">
      <c r="A65" s="35" t="s">
        <v>285</v>
      </c>
      <c r="B65" s="47">
        <v>0</v>
      </c>
      <c r="C65" s="48"/>
      <c r="D65" s="40">
        <v>0</v>
      </c>
    </row>
    <row r="66" spans="1:4" s="8" customFormat="1" x14ac:dyDescent="0.25">
      <c r="A66" s="49" t="s">
        <v>286</v>
      </c>
      <c r="B66" s="32">
        <f>SUM(B67:B74)</f>
        <v>113948.95020800001</v>
      </c>
      <c r="C66" s="39"/>
      <c r="D66" s="40"/>
    </row>
    <row r="67" spans="1:4" hidden="1" x14ac:dyDescent="0.25">
      <c r="A67" s="35" t="s">
        <v>287</v>
      </c>
      <c r="B67" s="23">
        <v>0</v>
      </c>
      <c r="C67" s="39"/>
      <c r="D67" s="40"/>
    </row>
    <row r="68" spans="1:4" x14ac:dyDescent="0.25">
      <c r="A68" s="35" t="s">
        <v>288</v>
      </c>
      <c r="B68" s="20">
        <f>61095.91*1.04*1.12</f>
        <v>71164.515968000007</v>
      </c>
      <c r="C68" s="39"/>
      <c r="D68" s="40"/>
    </row>
    <row r="69" spans="1:4" hidden="1" x14ac:dyDescent="0.25">
      <c r="A69" s="35" t="s">
        <v>289</v>
      </c>
      <c r="B69" s="23">
        <v>0</v>
      </c>
      <c r="C69" s="39"/>
      <c r="D69" s="40"/>
    </row>
    <row r="70" spans="1:4" hidden="1" x14ac:dyDescent="0.25">
      <c r="A70" s="41" t="s">
        <v>290</v>
      </c>
      <c r="B70" s="20"/>
      <c r="C70" s="39"/>
      <c r="D70" s="40"/>
    </row>
    <row r="71" spans="1:4" x14ac:dyDescent="0.25">
      <c r="A71" s="41" t="s">
        <v>291</v>
      </c>
      <c r="B71" s="20">
        <v>7555</v>
      </c>
      <c r="C71" s="39"/>
      <c r="D71" s="40"/>
    </row>
    <row r="72" spans="1:4" x14ac:dyDescent="0.25">
      <c r="A72" s="41" t="s">
        <v>292</v>
      </c>
      <c r="B72" s="20">
        <f>11621.85*1.04*1.12</f>
        <v>13537.130880000001</v>
      </c>
      <c r="C72" s="39"/>
      <c r="D72" s="40"/>
    </row>
    <row r="73" spans="1:4" x14ac:dyDescent="0.25">
      <c r="A73" s="41" t="s">
        <v>293</v>
      </c>
      <c r="B73" s="20">
        <f>1972.02*1.04*1.12</f>
        <v>2297.0088960000003</v>
      </c>
      <c r="C73" s="39"/>
      <c r="D73" s="40"/>
    </row>
    <row r="74" spans="1:4" x14ac:dyDescent="0.25">
      <c r="A74" s="41" t="s">
        <v>294</v>
      </c>
      <c r="B74" s="20">
        <f>16651.18*1.04*1.12</f>
        <v>19395.294464000002</v>
      </c>
      <c r="C74" s="39"/>
      <c r="D74" s="40"/>
    </row>
    <row r="75" spans="1:4" ht="63" x14ac:dyDescent="0.25">
      <c r="A75" s="50" t="s">
        <v>295</v>
      </c>
      <c r="B75" s="32">
        <f>SUM(B76:B76)</f>
        <v>55381.580800000011</v>
      </c>
      <c r="C75" s="39"/>
      <c r="D75" s="40"/>
    </row>
    <row r="76" spans="1:4" x14ac:dyDescent="0.25">
      <c r="A76" s="41" t="s">
        <v>296</v>
      </c>
      <c r="B76" s="20">
        <f>47546*1.04*1.12</f>
        <v>55381.580800000011</v>
      </c>
      <c r="C76" s="39"/>
      <c r="D76" s="40"/>
    </row>
    <row r="77" spans="1:4" s="8" customFormat="1" x14ac:dyDescent="0.25">
      <c r="A77" s="49" t="s">
        <v>297</v>
      </c>
      <c r="B77" s="32">
        <f>SUM(B78:B81)</f>
        <v>36697.379999999997</v>
      </c>
      <c r="C77" s="39"/>
      <c r="D77" s="40"/>
    </row>
    <row r="78" spans="1:4" x14ac:dyDescent="0.25">
      <c r="A78" s="51" t="s">
        <v>298</v>
      </c>
      <c r="B78" s="20">
        <v>25621</v>
      </c>
      <c r="C78" s="39"/>
      <c r="D78" s="40"/>
    </row>
    <row r="79" spans="1:4" hidden="1" x14ac:dyDescent="0.25">
      <c r="A79" s="51" t="s">
        <v>299</v>
      </c>
      <c r="B79" s="23"/>
      <c r="C79" s="39"/>
      <c r="D79" s="40"/>
    </row>
    <row r="80" spans="1:4" x14ac:dyDescent="0.25">
      <c r="A80" s="52" t="s">
        <v>300</v>
      </c>
      <c r="B80" s="20">
        <f>4006.55+3412.83</f>
        <v>7419.38</v>
      </c>
      <c r="C80" s="39"/>
      <c r="D80" s="40"/>
    </row>
    <row r="81" spans="1:4" x14ac:dyDescent="0.25">
      <c r="A81" s="52" t="s">
        <v>301</v>
      </c>
      <c r="B81" s="20">
        <v>3657</v>
      </c>
      <c r="C81" s="39"/>
      <c r="D81" s="40"/>
    </row>
    <row r="82" spans="1:4" x14ac:dyDescent="0.25">
      <c r="A82" s="53" t="s">
        <v>302</v>
      </c>
      <c r="B82" s="25">
        <f>B32+B42+B46+B66+B75+B77</f>
        <v>309512.65100800002</v>
      </c>
      <c r="C82" s="39"/>
      <c r="D82" s="40"/>
    </row>
    <row r="83" spans="1:4" x14ac:dyDescent="0.25">
      <c r="A83" s="54" t="s">
        <v>303</v>
      </c>
      <c r="B83" s="20">
        <f>B82*0.03</f>
        <v>9285.3795302399994</v>
      </c>
      <c r="C83" s="39"/>
      <c r="D83" s="40"/>
    </row>
    <row r="84" spans="1:4" s="34" customFormat="1" x14ac:dyDescent="0.25">
      <c r="A84" s="55" t="s">
        <v>304</v>
      </c>
      <c r="B84" s="32">
        <f>B82+B83</f>
        <v>318798.03053824004</v>
      </c>
      <c r="C84" s="39"/>
      <c r="D84" s="40"/>
    </row>
    <row r="85" spans="1:4" ht="16.5" thickBot="1" x14ac:dyDescent="0.3">
      <c r="A85" s="56" t="s">
        <v>305</v>
      </c>
      <c r="B85" s="57">
        <f>B84*0.2</f>
        <v>63759.606107648011</v>
      </c>
      <c r="C85" s="39"/>
      <c r="D85" s="40"/>
    </row>
    <row r="86" spans="1:4" s="8" customFormat="1" ht="16.5" thickBot="1" x14ac:dyDescent="0.3">
      <c r="A86" s="58" t="s">
        <v>306</v>
      </c>
      <c r="B86" s="59">
        <f>B84+B85</f>
        <v>382557.63664588804</v>
      </c>
      <c r="C86" s="60"/>
      <c r="D86" s="61"/>
    </row>
    <row r="87" spans="1:4" s="8" customFormat="1" ht="16.5" thickBot="1" x14ac:dyDescent="0.3">
      <c r="A87" s="62" t="s">
        <v>307</v>
      </c>
      <c r="B87" s="296">
        <f>B10+B24+B26+B28+B29-B86</f>
        <v>-157966.93664588808</v>
      </c>
      <c r="C87" s="63"/>
      <c r="D87" s="63"/>
    </row>
    <row r="88" spans="1:4" s="8" customFormat="1" ht="16.5" thickBot="1" x14ac:dyDescent="0.3">
      <c r="A88" s="64" t="s">
        <v>308</v>
      </c>
      <c r="B88" s="59">
        <f>B10+B25+B27++B28+B29-B86</f>
        <v>-160640.88664588804</v>
      </c>
      <c r="C88" s="63"/>
      <c r="D88" s="63"/>
    </row>
    <row r="89" spans="1:4" s="8" customFormat="1" ht="16.5" hidden="1" thickBot="1" x14ac:dyDescent="0.3">
      <c r="A89" s="65" t="s">
        <v>309</v>
      </c>
      <c r="B89" s="66">
        <f>B11+B24-B25</f>
        <v>2673.9499999999534</v>
      </c>
      <c r="C89" s="63"/>
      <c r="D89" s="63"/>
    </row>
    <row r="90" spans="1:4" s="8" customFormat="1" x14ac:dyDescent="0.25">
      <c r="A90" s="67"/>
      <c r="B90" s="68"/>
      <c r="C90" s="63"/>
      <c r="D90" s="63"/>
    </row>
    <row r="91" spans="1:4" x14ac:dyDescent="0.25">
      <c r="A91" s="69"/>
    </row>
    <row r="92" spans="1:4" x14ac:dyDescent="0.25">
      <c r="A92" s="309" t="s">
        <v>310</v>
      </c>
      <c r="B92" s="310"/>
    </row>
    <row r="93" spans="1:4" x14ac:dyDescent="0.25">
      <c r="A93" s="69"/>
      <c r="B93" s="71"/>
    </row>
    <row r="94" spans="1:4" x14ac:dyDescent="0.25">
      <c r="A94" s="311"/>
      <c r="B94" s="312"/>
      <c r="C94" s="72"/>
    </row>
  </sheetData>
  <autoFilter ref="A32:B89" xr:uid="{00000000-0009-0000-0000-000002000000}">
    <filterColumn colId="1">
      <filters>
        <filter val="1 272,91"/>
        <filter val="1 533,95"/>
        <filter val="1 926,61"/>
        <filter val="10 504,81"/>
        <filter val="10 607,29"/>
        <filter val="10 988,26"/>
        <filter val="11 332,66"/>
        <filter val="14 835,32"/>
        <filter val="15 751,93"/>
        <filter val="18 395,32"/>
        <filter val="2 919,33"/>
        <filter val="20,48"/>
        <filter val="212 380,02"/>
        <filter val="215 043,85"/>
        <filter val="22 208,94"/>
        <filter val="221 226,91"/>
        <filter val="221 495,17"/>
        <filter val="265 794,20"/>
        <filter val="3 733,97"/>
        <filter val="4 544,16"/>
        <filter val="4 923,05"/>
        <filter val="44 299,03"/>
        <filter val="45 717,74"/>
        <filter val="6 451,32"/>
        <filter val="6 738,35"/>
        <filter val="6 961,36"/>
        <filter val="61 095,91"/>
        <filter val="8 846,89"/>
        <filter val="9 694,87"/>
        <filter val="929,15"/>
        <filter val="95 843,80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70866141732283472" right="0.70866141732283472" top="0.74803149606299213" bottom="0.74803149606299213" header="0.31496062992125984" footer="0.31496062992125984"/>
  <pageSetup paperSize="9" scale="77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filterMode="1">
    <pageSetUpPr fitToPage="1"/>
  </sheetPr>
  <dimension ref="A1:G95"/>
  <sheetViews>
    <sheetView view="pageBreakPreview" topLeftCell="A41" zoomScale="80" zoomScaleNormal="100" zoomScaleSheetLayoutView="80" workbookViewId="0">
      <selection activeCell="B80" sqref="B80"/>
    </sheetView>
  </sheetViews>
  <sheetFormatPr defaultRowHeight="12.75" x14ac:dyDescent="0.2"/>
  <cols>
    <col min="1" max="1" width="96.42578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13" t="s">
        <v>224</v>
      </c>
      <c r="B1" s="313"/>
      <c r="C1" s="3"/>
      <c r="D1" s="3"/>
    </row>
    <row r="2" spans="1:4" ht="16.5" x14ac:dyDescent="0.25">
      <c r="A2" s="315" t="s">
        <v>225</v>
      </c>
      <c r="B2" s="315"/>
      <c r="C2" s="3"/>
      <c r="D2" s="3"/>
    </row>
    <row r="3" spans="1:4" ht="16.5" x14ac:dyDescent="0.25">
      <c r="A3" s="315" t="s">
        <v>226</v>
      </c>
      <c r="B3" s="315"/>
      <c r="C3" s="3"/>
      <c r="D3" s="3"/>
    </row>
    <row r="4" spans="1:4" ht="15.75" x14ac:dyDescent="0.25">
      <c r="A4" s="4" t="s">
        <v>516</v>
      </c>
      <c r="B4" s="4"/>
      <c r="C4" s="3"/>
      <c r="D4" s="3"/>
    </row>
    <row r="5" spans="1:4" ht="15.75" x14ac:dyDescent="0.25">
      <c r="A5" s="4" t="s">
        <v>81</v>
      </c>
      <c r="B5" s="4"/>
      <c r="C5" s="3"/>
      <c r="D5" s="3"/>
    </row>
    <row r="6" spans="1:4" ht="5.25" customHeight="1" x14ac:dyDescent="0.25">
      <c r="A6" s="4"/>
      <c r="B6" s="8"/>
      <c r="C6" s="8"/>
      <c r="D6" s="3"/>
    </row>
    <row r="7" spans="1:4" ht="16.5" thickBot="1" x14ac:dyDescent="0.3">
      <c r="A7" s="9"/>
      <c r="B7" s="8"/>
      <c r="C7" s="8"/>
      <c r="D7" s="3"/>
    </row>
    <row r="8" spans="1:4" ht="15.75" customHeight="1" x14ac:dyDescent="0.2">
      <c r="A8" s="335" t="s">
        <v>227</v>
      </c>
      <c r="B8" s="337" t="s">
        <v>228</v>
      </c>
      <c r="C8" s="307" t="s">
        <v>229</v>
      </c>
      <c r="D8" s="307" t="s">
        <v>230</v>
      </c>
    </row>
    <row r="9" spans="1:4" ht="28.5" customHeight="1" thickBot="1" x14ac:dyDescent="0.25">
      <c r="A9" s="336"/>
      <c r="B9" s="338"/>
      <c r="C9" s="308"/>
      <c r="D9" s="308"/>
    </row>
    <row r="10" spans="1:4" s="212" customFormat="1" ht="16.5" thickBot="1" x14ac:dyDescent="0.3">
      <c r="A10" s="209" t="s">
        <v>231</v>
      </c>
      <c r="B10" s="302">
        <f>VLOOKUP(A5,мкд!S:T,2,FALSE)</f>
        <v>-359857.99</v>
      </c>
      <c r="C10" s="211"/>
      <c r="D10" s="211"/>
    </row>
    <row r="11" spans="1:4" s="212" customFormat="1" ht="16.5" hidden="1" thickBot="1" x14ac:dyDescent="0.3">
      <c r="A11" s="213" t="s">
        <v>232</v>
      </c>
      <c r="B11" s="214"/>
      <c r="C11" s="215"/>
      <c r="D11" s="215"/>
    </row>
    <row r="12" spans="1:4" ht="15.75" x14ac:dyDescent="0.25">
      <c r="A12" s="216" t="s">
        <v>233</v>
      </c>
      <c r="B12" s="217"/>
      <c r="C12" s="17" t="s">
        <v>234</v>
      </c>
      <c r="D12" s="18" t="s">
        <v>234</v>
      </c>
    </row>
    <row r="13" spans="1:4" ht="15.75" hidden="1" x14ac:dyDescent="0.25">
      <c r="A13" s="19" t="s">
        <v>235</v>
      </c>
      <c r="B13" s="20">
        <v>3192.1</v>
      </c>
      <c r="C13" s="21" t="s">
        <v>234</v>
      </c>
      <c r="D13" s="22" t="s">
        <v>234</v>
      </c>
    </row>
    <row r="14" spans="1:4" ht="15.75" hidden="1" x14ac:dyDescent="0.25">
      <c r="A14" s="19" t="s">
        <v>236</v>
      </c>
      <c r="B14" s="20">
        <v>0</v>
      </c>
      <c r="C14" s="21"/>
      <c r="D14" s="22"/>
    </row>
    <row r="15" spans="1:4" ht="15.75" x14ac:dyDescent="0.25">
      <c r="A15" s="219" t="s">
        <v>237</v>
      </c>
      <c r="B15" s="23">
        <f>B13+B14</f>
        <v>3192.1</v>
      </c>
      <c r="C15" s="21"/>
      <c r="D15" s="22"/>
    </row>
    <row r="16" spans="1:4" ht="15.75" x14ac:dyDescent="0.25">
      <c r="A16" s="219" t="s">
        <v>238</v>
      </c>
      <c r="B16" s="23">
        <f>1062.6+2397.5/3</f>
        <v>1861.7666666666664</v>
      </c>
      <c r="C16" s="21" t="s">
        <v>234</v>
      </c>
      <c r="D16" s="22" t="s">
        <v>234</v>
      </c>
    </row>
    <row r="17" spans="1:7" ht="15.75" hidden="1" x14ac:dyDescent="0.25">
      <c r="A17" s="19" t="s">
        <v>239</v>
      </c>
      <c r="B17" s="20">
        <v>0</v>
      </c>
      <c r="C17" s="21" t="s">
        <v>234</v>
      </c>
      <c r="D17" s="22" t="s">
        <v>234</v>
      </c>
      <c r="E17" s="3"/>
      <c r="F17" s="3"/>
      <c r="G17" s="3"/>
    </row>
    <row r="18" spans="1:7" ht="15.75" hidden="1" x14ac:dyDescent="0.25">
      <c r="A18" s="19" t="s">
        <v>240</v>
      </c>
      <c r="B18" s="20">
        <v>886.5</v>
      </c>
      <c r="C18" s="21" t="s">
        <v>234</v>
      </c>
      <c r="D18" s="22" t="s">
        <v>234</v>
      </c>
      <c r="E18" s="3"/>
      <c r="F18" s="3"/>
      <c r="G18" s="3"/>
    </row>
    <row r="19" spans="1:7" ht="15.75" hidden="1" x14ac:dyDescent="0.25">
      <c r="A19" s="19" t="s">
        <v>241</v>
      </c>
      <c r="B19" s="20">
        <v>720</v>
      </c>
      <c r="C19" s="21" t="s">
        <v>234</v>
      </c>
      <c r="D19" s="22" t="s">
        <v>234</v>
      </c>
      <c r="E19" s="3"/>
      <c r="F19" s="3"/>
      <c r="G19" s="3"/>
    </row>
    <row r="20" spans="1:7" ht="15.75" hidden="1" x14ac:dyDescent="0.25">
      <c r="A20" s="19" t="s">
        <v>242</v>
      </c>
      <c r="B20" s="20">
        <v>1117</v>
      </c>
      <c r="C20" s="21"/>
      <c r="D20" s="22"/>
      <c r="E20" s="3"/>
      <c r="F20" s="3"/>
      <c r="G20" s="3"/>
    </row>
    <row r="21" spans="1:7" ht="15.75" hidden="1" x14ac:dyDescent="0.25">
      <c r="A21" s="19" t="s">
        <v>243</v>
      </c>
      <c r="B21" s="20">
        <v>0</v>
      </c>
      <c r="C21" s="21" t="s">
        <v>234</v>
      </c>
      <c r="D21" s="22" t="s">
        <v>234</v>
      </c>
      <c r="E21" s="3"/>
      <c r="F21" s="3"/>
      <c r="G21" s="3"/>
    </row>
    <row r="22" spans="1:7" ht="15.75" hidden="1" x14ac:dyDescent="0.25">
      <c r="A22" s="19" t="s">
        <v>244</v>
      </c>
      <c r="B22" s="20">
        <v>190</v>
      </c>
      <c r="C22" s="21"/>
      <c r="D22" s="22"/>
      <c r="E22" s="3"/>
      <c r="F22" s="3"/>
      <c r="G22" s="3"/>
    </row>
    <row r="23" spans="1:7" ht="15.75" x14ac:dyDescent="0.25">
      <c r="A23" s="219"/>
      <c r="B23" s="23"/>
      <c r="C23" s="21"/>
      <c r="D23" s="22"/>
      <c r="E23" s="3">
        <v>10</v>
      </c>
      <c r="F23" s="3">
        <v>2</v>
      </c>
      <c r="G23" s="3"/>
    </row>
    <row r="24" spans="1:7" ht="15.75" x14ac:dyDescent="0.25">
      <c r="A24" s="220" t="s">
        <v>319</v>
      </c>
      <c r="B24" s="28">
        <f>VLOOKUP(A5,'[5]Лист  1'!M$1:N$65536,2,FALSE)</f>
        <v>554462.38</v>
      </c>
      <c r="C24" s="21"/>
      <c r="D24" s="22"/>
      <c r="E24" s="3">
        <v>14.19</v>
      </c>
      <c r="F24" s="3">
        <v>15.884285999999999</v>
      </c>
      <c r="G24" s="3"/>
    </row>
    <row r="25" spans="1:7" ht="15.75" x14ac:dyDescent="0.25">
      <c r="A25" s="220" t="s">
        <v>320</v>
      </c>
      <c r="B25" s="28">
        <f>VLOOKUP(A5,'[5]Лист  1'!M$1:O$65536,3,FALSE)</f>
        <v>484935.08</v>
      </c>
      <c r="C25" s="21"/>
      <c r="D25" s="22"/>
      <c r="E25" s="3"/>
      <c r="F25" s="3"/>
      <c r="G25" s="3"/>
    </row>
    <row r="26" spans="1:7" ht="15.75" hidden="1" x14ac:dyDescent="0.25">
      <c r="A26" s="220" t="s">
        <v>321</v>
      </c>
      <c r="B26" s="28"/>
      <c r="C26" s="21"/>
      <c r="D26" s="22"/>
      <c r="E26" s="3"/>
      <c r="F26" s="3"/>
      <c r="G26" s="3"/>
    </row>
    <row r="27" spans="1:7" ht="15.75" hidden="1" x14ac:dyDescent="0.25">
      <c r="A27" s="220" t="s">
        <v>248</v>
      </c>
      <c r="B27" s="28">
        <f>B26</f>
        <v>0</v>
      </c>
      <c r="C27" s="21"/>
      <c r="D27" s="22"/>
      <c r="E27" s="3"/>
      <c r="F27" s="3"/>
      <c r="G27" s="3"/>
    </row>
    <row r="28" spans="1:7" ht="15.75" x14ac:dyDescent="0.25">
      <c r="A28" s="220" t="s">
        <v>399</v>
      </c>
      <c r="B28" s="28">
        <v>9289.92</v>
      </c>
      <c r="C28" s="21"/>
      <c r="D28" s="22"/>
      <c r="E28" s="3"/>
      <c r="F28" s="3"/>
      <c r="G28" s="3"/>
    </row>
    <row r="29" spans="1:7" ht="15.75" hidden="1" x14ac:dyDescent="0.25">
      <c r="A29" s="220" t="s">
        <v>250</v>
      </c>
      <c r="B29" s="23"/>
      <c r="C29" s="21"/>
      <c r="D29" s="22"/>
      <c r="E29" s="3"/>
      <c r="F29" s="3"/>
      <c r="G29" s="3"/>
    </row>
    <row r="30" spans="1:7" ht="15.75" x14ac:dyDescent="0.25">
      <c r="A30" s="221"/>
      <c r="B30" s="23"/>
      <c r="C30" s="21"/>
      <c r="D30" s="22"/>
      <c r="E30" s="3"/>
      <c r="F30" s="3"/>
      <c r="G30" s="3"/>
    </row>
    <row r="31" spans="1:7" ht="15.75" x14ac:dyDescent="0.25">
      <c r="A31" s="222" t="s">
        <v>251</v>
      </c>
      <c r="B31" s="23"/>
      <c r="C31" s="21"/>
      <c r="D31" s="22"/>
      <c r="E31" s="3"/>
      <c r="F31" s="3"/>
      <c r="G31" s="3"/>
    </row>
    <row r="32" spans="1:7" s="34" customFormat="1" ht="31.5" x14ac:dyDescent="0.25">
      <c r="A32" s="223" t="s">
        <v>252</v>
      </c>
      <c r="B32" s="208">
        <f>SUM(B33:B40)</f>
        <v>126882.12</v>
      </c>
      <c r="C32" s="21"/>
      <c r="D32" s="22"/>
      <c r="E32" s="33">
        <f>(B85-B24-B26)/1.2/1.03</f>
        <v>168425.08973588014</v>
      </c>
      <c r="F32" s="33" t="e">
        <f>(#REF!-#REF!-#REF!)/1.2/1.03</f>
        <v>#REF!</v>
      </c>
      <c r="G32" s="33" t="e">
        <f>(#REF!-#REF!-#REF!)/1.2/1.03</f>
        <v>#REF!</v>
      </c>
    </row>
    <row r="33" spans="1:7" ht="15.75" x14ac:dyDescent="0.25">
      <c r="A33" s="224" t="s">
        <v>253</v>
      </c>
      <c r="B33" s="23">
        <f>28000*1.12</f>
        <v>31360.000000000004</v>
      </c>
      <c r="C33" s="21"/>
      <c r="D33" s="22">
        <v>37703.19</v>
      </c>
      <c r="E33" s="3"/>
      <c r="F33" s="3"/>
      <c r="G33" s="3"/>
    </row>
    <row r="34" spans="1:7" ht="15.75" x14ac:dyDescent="0.25">
      <c r="A34" s="257" t="s">
        <v>443</v>
      </c>
      <c r="B34" s="258">
        <f>18871.3+61282.65</f>
        <v>80153.95</v>
      </c>
      <c r="C34" s="21"/>
      <c r="D34" s="22">
        <v>0</v>
      </c>
      <c r="E34" s="3"/>
      <c r="F34" s="3"/>
      <c r="G34" s="3"/>
    </row>
    <row r="35" spans="1:7" ht="15.75" x14ac:dyDescent="0.25">
      <c r="A35" s="257" t="s">
        <v>449</v>
      </c>
      <c r="B35" s="260">
        <v>15368.17</v>
      </c>
      <c r="C35" s="21"/>
      <c r="D35" s="22">
        <v>0</v>
      </c>
      <c r="E35" s="3"/>
      <c r="F35" s="3"/>
      <c r="G35" s="3"/>
    </row>
    <row r="36" spans="1:7" ht="15.75" hidden="1" x14ac:dyDescent="0.25">
      <c r="A36" s="224" t="s">
        <v>400</v>
      </c>
      <c r="B36" s="23"/>
      <c r="C36" s="21"/>
      <c r="D36" s="22">
        <v>0</v>
      </c>
      <c r="E36" s="3"/>
      <c r="F36" s="3"/>
      <c r="G36" s="3"/>
    </row>
    <row r="37" spans="1:7" ht="15.75" hidden="1" x14ac:dyDescent="0.25">
      <c r="A37" s="224" t="s">
        <v>258</v>
      </c>
      <c r="B37" s="23">
        <v>0</v>
      </c>
      <c r="C37" s="21"/>
      <c r="D37" s="22">
        <v>0</v>
      </c>
      <c r="E37" s="3"/>
      <c r="F37" s="3"/>
      <c r="G37" s="3"/>
    </row>
    <row r="38" spans="1:7" ht="15.75" hidden="1" x14ac:dyDescent="0.25">
      <c r="A38" s="224" t="s">
        <v>259</v>
      </c>
      <c r="B38" s="23">
        <v>0</v>
      </c>
      <c r="C38" s="21"/>
      <c r="D38" s="22">
        <v>0</v>
      </c>
      <c r="E38" s="3"/>
      <c r="F38" s="3"/>
      <c r="G38" s="3"/>
    </row>
    <row r="39" spans="1:7" ht="15.75" hidden="1" x14ac:dyDescent="0.25">
      <c r="A39" s="35" t="s">
        <v>312</v>
      </c>
      <c r="B39" s="23">
        <v>0</v>
      </c>
      <c r="C39" s="21"/>
      <c r="D39" s="22"/>
      <c r="E39" s="3"/>
      <c r="F39" s="3"/>
      <c r="G39" s="3"/>
    </row>
    <row r="40" spans="1:7" ht="15.75" hidden="1" x14ac:dyDescent="0.25">
      <c r="A40" s="35" t="s">
        <v>313</v>
      </c>
      <c r="B40" s="23">
        <v>0</v>
      </c>
      <c r="C40" s="21"/>
      <c r="D40" s="22"/>
      <c r="E40" s="3"/>
      <c r="F40" s="3"/>
      <c r="G40" s="3"/>
    </row>
    <row r="41" spans="1:7" s="34" customFormat="1" ht="47.25" x14ac:dyDescent="0.25">
      <c r="A41" s="31" t="s">
        <v>401</v>
      </c>
      <c r="B41" s="208">
        <f>SUM(B42:B44)</f>
        <v>19259.651539960076</v>
      </c>
      <c r="C41" s="21"/>
      <c r="D41" s="22"/>
      <c r="E41" s="33"/>
      <c r="F41" s="33"/>
      <c r="G41" s="33"/>
    </row>
    <row r="42" spans="1:7" ht="15.75" x14ac:dyDescent="0.25">
      <c r="A42" s="224" t="s">
        <v>262</v>
      </c>
      <c r="B42" s="23"/>
      <c r="C42" s="39"/>
      <c r="D42" s="40"/>
      <c r="E42" s="3"/>
      <c r="F42" s="3"/>
      <c r="G42" s="3"/>
    </row>
    <row r="43" spans="1:7" ht="15.75" x14ac:dyDescent="0.25">
      <c r="A43" s="35" t="s">
        <v>263</v>
      </c>
      <c r="B43" s="23">
        <f>1.04*1765.2*1.12</f>
        <v>2056.1049600000006</v>
      </c>
      <c r="C43" s="39"/>
      <c r="D43" s="40"/>
      <c r="E43" s="3"/>
      <c r="F43" s="3"/>
      <c r="G43" s="3"/>
    </row>
    <row r="44" spans="1:7" ht="15.75" x14ac:dyDescent="0.25">
      <c r="A44" s="41" t="s">
        <v>264</v>
      </c>
      <c r="B44" s="23">
        <f>'[6]32тарифы'!D163*B15+239.26*1.12</f>
        <v>17203.546579960075</v>
      </c>
      <c r="C44" s="39"/>
      <c r="D44" s="40"/>
      <c r="E44" s="3"/>
      <c r="F44" s="3"/>
      <c r="G44" s="3"/>
    </row>
    <row r="45" spans="1:7" s="8" customFormat="1" ht="15.75" x14ac:dyDescent="0.25">
      <c r="A45" s="223" t="s">
        <v>265</v>
      </c>
      <c r="B45" s="208">
        <f>SUM(B46:B64)</f>
        <v>88324.87000000001</v>
      </c>
      <c r="C45" s="21"/>
      <c r="D45" s="22"/>
    </row>
    <row r="46" spans="1:7" ht="15.75" x14ac:dyDescent="0.25">
      <c r="A46" s="224" t="s">
        <v>326</v>
      </c>
      <c r="B46" s="23">
        <v>3723.36</v>
      </c>
      <c r="C46" s="21"/>
      <c r="D46" s="22"/>
      <c r="E46" s="3" t="s">
        <v>267</v>
      </c>
      <c r="F46" s="3"/>
      <c r="G46" s="3"/>
    </row>
    <row r="47" spans="1:7" ht="15.75" x14ac:dyDescent="0.25">
      <c r="A47" s="224" t="s">
        <v>317</v>
      </c>
      <c r="B47" s="23">
        <v>4521.18</v>
      </c>
      <c r="C47" s="21"/>
      <c r="D47" s="22"/>
      <c r="E47" s="3" t="s">
        <v>269</v>
      </c>
      <c r="F47" s="3"/>
      <c r="G47" s="3"/>
    </row>
    <row r="48" spans="1:7" ht="15.75" hidden="1" x14ac:dyDescent="0.25">
      <c r="A48" s="42" t="s">
        <v>270</v>
      </c>
      <c r="B48" s="23">
        <v>0</v>
      </c>
      <c r="C48" s="21"/>
      <c r="D48" s="22"/>
      <c r="E48" s="3"/>
      <c r="F48" s="3"/>
      <c r="G48" s="3"/>
    </row>
    <row r="49" spans="1:5" ht="15.75" hidden="1" x14ac:dyDescent="0.25">
      <c r="A49" s="143" t="s">
        <v>351</v>
      </c>
      <c r="B49" s="23"/>
      <c r="C49" s="21"/>
      <c r="D49" s="22"/>
      <c r="E49" s="3"/>
    </row>
    <row r="50" spans="1:5" ht="15.75" hidden="1" x14ac:dyDescent="0.25">
      <c r="A50" s="143" t="s">
        <v>455</v>
      </c>
      <c r="B50" s="20"/>
      <c r="C50" s="21"/>
      <c r="D50" s="22"/>
      <c r="E50" s="3"/>
    </row>
    <row r="51" spans="1:5" ht="15.75" hidden="1" x14ac:dyDescent="0.25">
      <c r="A51" s="143" t="s">
        <v>415</v>
      </c>
      <c r="B51" s="23"/>
      <c r="C51" s="21"/>
      <c r="D51" s="22">
        <v>105.14</v>
      </c>
      <c r="E51" s="3"/>
    </row>
    <row r="52" spans="1:5" ht="15.75" x14ac:dyDescent="0.25">
      <c r="A52" s="143" t="s">
        <v>419</v>
      </c>
      <c r="B52" s="23">
        <v>24000</v>
      </c>
      <c r="C52" s="21">
        <v>1</v>
      </c>
      <c r="D52" s="22">
        <v>522.99</v>
      </c>
      <c r="E52" s="3"/>
    </row>
    <row r="53" spans="1:5" ht="15.75" x14ac:dyDescent="0.25">
      <c r="A53" s="228" t="s">
        <v>359</v>
      </c>
      <c r="B53" s="20">
        <v>8133.61</v>
      </c>
      <c r="C53" s="21">
        <v>1</v>
      </c>
      <c r="D53" s="44">
        <v>657.53</v>
      </c>
      <c r="E53" s="3"/>
    </row>
    <row r="54" spans="1:5" ht="15.75" hidden="1" x14ac:dyDescent="0.25">
      <c r="A54" s="42" t="s">
        <v>276</v>
      </c>
      <c r="B54" s="23">
        <v>0</v>
      </c>
      <c r="C54" s="21"/>
      <c r="D54" s="44"/>
      <c r="E54" s="3"/>
    </row>
    <row r="55" spans="1:5" ht="15.75" hidden="1" x14ac:dyDescent="0.25">
      <c r="A55" s="143" t="s">
        <v>277</v>
      </c>
      <c r="B55" s="23">
        <v>0</v>
      </c>
      <c r="C55" s="21">
        <v>0</v>
      </c>
      <c r="D55" s="22">
        <f>10695.76/1.18</f>
        <v>9064.203389830509</v>
      </c>
      <c r="E55" s="3"/>
    </row>
    <row r="56" spans="1:5" ht="15.75" hidden="1" x14ac:dyDescent="0.25">
      <c r="A56" s="143" t="s">
        <v>380</v>
      </c>
      <c r="B56" s="23"/>
      <c r="C56" s="21">
        <v>0</v>
      </c>
      <c r="D56" s="22">
        <f>2300/1.18</f>
        <v>1949.1525423728815</v>
      </c>
      <c r="E56" s="3"/>
    </row>
    <row r="57" spans="1:5" ht="15.75" hidden="1" x14ac:dyDescent="0.25">
      <c r="A57" s="143" t="s">
        <v>316</v>
      </c>
      <c r="B57" s="23"/>
      <c r="C57" s="21">
        <v>0</v>
      </c>
      <c r="D57" s="22">
        <v>0</v>
      </c>
      <c r="E57" s="3"/>
    </row>
    <row r="58" spans="1:5" ht="15.75" hidden="1" x14ac:dyDescent="0.25">
      <c r="A58" s="228" t="s">
        <v>279</v>
      </c>
      <c r="B58" s="20">
        <f>B13*'[6]32тарифы'!D184</f>
        <v>0</v>
      </c>
      <c r="C58" s="21"/>
      <c r="D58" s="22"/>
      <c r="E58" s="3"/>
    </row>
    <row r="59" spans="1:5" ht="15.75" hidden="1" x14ac:dyDescent="0.25">
      <c r="A59" s="35" t="s">
        <v>280</v>
      </c>
      <c r="B59" s="23">
        <v>0</v>
      </c>
      <c r="C59" s="21"/>
      <c r="D59" s="22"/>
      <c r="E59" s="3"/>
    </row>
    <row r="60" spans="1:5" ht="15.75" hidden="1" x14ac:dyDescent="0.25">
      <c r="A60" s="35" t="s">
        <v>281</v>
      </c>
      <c r="B60" s="23">
        <v>0</v>
      </c>
      <c r="C60" s="21"/>
      <c r="D60" s="22">
        <v>0</v>
      </c>
      <c r="E60" s="227">
        <f>B79+B45-B58+739.87</f>
        <v>107342.42000000001</v>
      </c>
    </row>
    <row r="61" spans="1:5" ht="17.25" customHeight="1" x14ac:dyDescent="0.25">
      <c r="A61" s="35" t="s">
        <v>542</v>
      </c>
      <c r="B61" s="23">
        <v>4200</v>
      </c>
      <c r="C61" s="21"/>
      <c r="D61" s="22">
        <v>0</v>
      </c>
      <c r="E61" s="3"/>
    </row>
    <row r="62" spans="1:5" ht="15.75" x14ac:dyDescent="0.25">
      <c r="A62" s="225" t="s">
        <v>327</v>
      </c>
      <c r="B62" s="112">
        <v>25764.68</v>
      </c>
      <c r="C62" s="46">
        <v>1</v>
      </c>
      <c r="D62" s="22">
        <v>0</v>
      </c>
      <c r="E62" s="3"/>
    </row>
    <row r="63" spans="1:5" ht="15.75" x14ac:dyDescent="0.25">
      <c r="A63" s="224" t="s">
        <v>540</v>
      </c>
      <c r="B63" s="229">
        <v>17814.580000000002</v>
      </c>
      <c r="C63" s="46">
        <v>80</v>
      </c>
      <c r="D63" s="22">
        <v>2</v>
      </c>
      <c r="E63" s="3">
        <v>1</v>
      </c>
    </row>
    <row r="64" spans="1:5" ht="15.75" x14ac:dyDescent="0.25">
      <c r="A64" s="35" t="s">
        <v>282</v>
      </c>
      <c r="B64" s="229">
        <v>167.46</v>
      </c>
      <c r="C64" s="48"/>
      <c r="D64" s="40">
        <v>0</v>
      </c>
      <c r="E64" s="3"/>
    </row>
    <row r="65" spans="1:4" s="8" customFormat="1" ht="15.75" x14ac:dyDescent="0.25">
      <c r="A65" s="189" t="s">
        <v>286</v>
      </c>
      <c r="B65" s="32">
        <f>SUM(B66:B73)</f>
        <v>172700.17699736822</v>
      </c>
      <c r="C65" s="39"/>
      <c r="D65" s="40"/>
    </row>
    <row r="66" spans="1:4" ht="15.75" hidden="1" x14ac:dyDescent="0.25">
      <c r="A66" s="224" t="s">
        <v>287</v>
      </c>
      <c r="B66" s="23">
        <v>0</v>
      </c>
      <c r="C66" s="39"/>
      <c r="D66" s="40"/>
    </row>
    <row r="67" spans="1:4" ht="15.75" x14ac:dyDescent="0.25">
      <c r="A67" s="187" t="s">
        <v>288</v>
      </c>
      <c r="B67" s="20">
        <f>70439*1.04*1.12</f>
        <v>82047.347200000004</v>
      </c>
      <c r="C67" s="39"/>
      <c r="D67" s="40"/>
    </row>
    <row r="68" spans="1:4" ht="15.75" x14ac:dyDescent="0.25">
      <c r="A68" s="224" t="s">
        <v>289</v>
      </c>
      <c r="B68" s="232">
        <v>0</v>
      </c>
      <c r="C68" s="39"/>
      <c r="D68" s="40"/>
    </row>
    <row r="69" spans="1:4" ht="15.75" x14ac:dyDescent="0.25">
      <c r="A69" s="163" t="s">
        <v>290</v>
      </c>
      <c r="B69" s="20">
        <f>'[6]32тарифы'!D164*B13*1.12</f>
        <v>3941.5054182958065</v>
      </c>
      <c r="C69" s="39"/>
      <c r="D69" s="40"/>
    </row>
    <row r="70" spans="1:4" ht="15.75" x14ac:dyDescent="0.25">
      <c r="A70" s="226" t="s">
        <v>291</v>
      </c>
      <c r="B70" s="23">
        <f>'[6]32тарифы'!D165*B15*1.12</f>
        <v>20413.713703472287</v>
      </c>
      <c r="C70" s="39"/>
      <c r="D70" s="40"/>
    </row>
    <row r="71" spans="1:4" ht="15.75" x14ac:dyDescent="0.25">
      <c r="A71" s="226" t="s">
        <v>292</v>
      </c>
      <c r="B71" s="23">
        <f>32603*1.04*1.12</f>
        <v>37975.974400000006</v>
      </c>
      <c r="C71" s="39"/>
      <c r="D71" s="40"/>
    </row>
    <row r="72" spans="1:4" ht="15.75" x14ac:dyDescent="0.25">
      <c r="A72" s="226" t="s">
        <v>293</v>
      </c>
      <c r="B72" s="23">
        <f>1.04*5532*1.12</f>
        <v>6443.6736000000001</v>
      </c>
      <c r="C72" s="39"/>
      <c r="D72" s="40"/>
    </row>
    <row r="73" spans="1:4" ht="15.75" x14ac:dyDescent="0.25">
      <c r="A73" s="226" t="s">
        <v>294</v>
      </c>
      <c r="B73" s="23">
        <f>('[6]32тарифы'!D167*B15)+('[6]32тарифы'!D187*B15)*1.12</f>
        <v>21877.962675600098</v>
      </c>
      <c r="C73" s="39"/>
      <c r="D73" s="40"/>
    </row>
    <row r="74" spans="1:4" ht="63" x14ac:dyDescent="0.25">
      <c r="A74" s="233" t="s">
        <v>295</v>
      </c>
      <c r="B74" s="208">
        <f>SUM(B75:B75)</f>
        <v>107520.00000000001</v>
      </c>
      <c r="C74" s="39"/>
      <c r="D74" s="40"/>
    </row>
    <row r="75" spans="1:4" ht="15.75" x14ac:dyDescent="0.25">
      <c r="A75" s="226" t="s">
        <v>296</v>
      </c>
      <c r="B75" s="23">
        <f>96000*1.12</f>
        <v>107520.00000000001</v>
      </c>
      <c r="C75" s="39"/>
      <c r="D75" s="40"/>
    </row>
    <row r="76" spans="1:4" s="8" customFormat="1" ht="15.75" x14ac:dyDescent="0.25">
      <c r="A76" s="230" t="s">
        <v>297</v>
      </c>
      <c r="B76" s="208">
        <f>SUM(B77:B80)</f>
        <v>102332.42977460373</v>
      </c>
      <c r="C76" s="39"/>
      <c r="D76" s="40"/>
    </row>
    <row r="77" spans="1:4" ht="15.75" x14ac:dyDescent="0.25">
      <c r="A77" s="234" t="s">
        <v>298</v>
      </c>
      <c r="B77" s="23">
        <f>'[6]32тарифы'!D170*B15*1.12</f>
        <v>77037.875628133843</v>
      </c>
      <c r="C77" s="39"/>
      <c r="D77" s="40"/>
    </row>
    <row r="78" spans="1:4" ht="15.75" hidden="1" x14ac:dyDescent="0.25">
      <c r="A78" s="234" t="s">
        <v>299</v>
      </c>
      <c r="B78" s="23">
        <f>(B26/1.2)*30%</f>
        <v>0</v>
      </c>
      <c r="C78" s="39"/>
      <c r="D78" s="40"/>
    </row>
    <row r="79" spans="1:4" ht="15.75" x14ac:dyDescent="0.25">
      <c r="A79" s="235" t="s">
        <v>300</v>
      </c>
      <c r="B79" s="232">
        <f>10683.84+7593.84</f>
        <v>18277.68</v>
      </c>
      <c r="C79" s="39"/>
      <c r="D79" s="40"/>
    </row>
    <row r="80" spans="1:4" ht="15.75" x14ac:dyDescent="0.25">
      <c r="A80" s="235" t="s">
        <v>301</v>
      </c>
      <c r="B80" s="23">
        <f>'[6]32тарифы'!D173*B13*1.12</f>
        <v>7016.8741464698815</v>
      </c>
      <c r="C80" s="39"/>
      <c r="D80" s="40"/>
    </row>
    <row r="81" spans="1:4" ht="15.75" x14ac:dyDescent="0.25">
      <c r="A81" s="236" t="s">
        <v>302</v>
      </c>
      <c r="B81" s="28">
        <f>B32+B41+B45+B65+B74+B76</f>
        <v>617019.24831193197</v>
      </c>
      <c r="C81" s="39"/>
      <c r="D81" s="40"/>
    </row>
    <row r="82" spans="1:4" ht="15.75" x14ac:dyDescent="0.25">
      <c r="A82" s="237" t="s">
        <v>303</v>
      </c>
      <c r="B82" s="23">
        <f>B81*0.03</f>
        <v>18510.577449357959</v>
      </c>
      <c r="C82" s="39"/>
      <c r="D82" s="40"/>
    </row>
    <row r="83" spans="1:4" s="34" customFormat="1" ht="15.75" x14ac:dyDescent="0.25">
      <c r="A83" s="238" t="s">
        <v>304</v>
      </c>
      <c r="B83" s="208">
        <f>B81+B82</f>
        <v>635529.82576128992</v>
      </c>
      <c r="C83" s="39"/>
      <c r="D83" s="40"/>
    </row>
    <row r="84" spans="1:4" ht="16.5" thickBot="1" x14ac:dyDescent="0.3">
      <c r="A84" s="239" t="s">
        <v>305</v>
      </c>
      <c r="B84" s="240">
        <f>B83*0.2</f>
        <v>127105.965152258</v>
      </c>
      <c r="C84" s="39"/>
      <c r="D84" s="40"/>
    </row>
    <row r="85" spans="1:4" s="8" customFormat="1" ht="16.5" thickBot="1" x14ac:dyDescent="0.3">
      <c r="A85" s="62" t="s">
        <v>306</v>
      </c>
      <c r="B85" s="66">
        <f>B83+B84</f>
        <v>762635.79091354785</v>
      </c>
      <c r="C85" s="60"/>
      <c r="D85" s="61"/>
    </row>
    <row r="86" spans="1:4" s="8" customFormat="1" ht="16.5" thickBot="1" x14ac:dyDescent="0.3">
      <c r="A86" s="62" t="s">
        <v>307</v>
      </c>
      <c r="B86" s="66">
        <f>B10+B24+B26+B28+B29-B85</f>
        <v>-558741.4809135478</v>
      </c>
      <c r="C86" s="63"/>
      <c r="D86" s="63"/>
    </row>
    <row r="87" spans="1:4" s="8" customFormat="1" ht="16.5" thickBot="1" x14ac:dyDescent="0.3">
      <c r="A87" s="64" t="s">
        <v>308</v>
      </c>
      <c r="B87" s="296">
        <f>B10+B25+B27+B28+B29-B85</f>
        <v>-628268.78091354785</v>
      </c>
      <c r="C87" s="63"/>
      <c r="D87" s="63"/>
    </row>
    <row r="88" spans="1:4" s="8" customFormat="1" ht="16.5" hidden="1" thickBot="1" x14ac:dyDescent="0.3">
      <c r="A88" s="241" t="s">
        <v>309</v>
      </c>
      <c r="B88" s="66">
        <f>B11+B24-B25</f>
        <v>69527.299999999988</v>
      </c>
      <c r="C88" s="63"/>
      <c r="D88" s="63"/>
    </row>
    <row r="89" spans="1:4" ht="15.75" x14ac:dyDescent="0.25">
      <c r="A89" s="3"/>
      <c r="B89" s="227"/>
      <c r="C89" s="3"/>
      <c r="D89" s="3"/>
    </row>
    <row r="90" spans="1:4" ht="10.5" customHeight="1" x14ac:dyDescent="0.25">
      <c r="A90" s="69"/>
      <c r="B90" s="3"/>
      <c r="C90" s="3"/>
      <c r="D90" s="3"/>
    </row>
    <row r="91" spans="1:4" ht="15.75" x14ac:dyDescent="0.25">
      <c r="A91" s="333" t="s">
        <v>407</v>
      </c>
      <c r="B91" s="333"/>
      <c r="C91" s="3"/>
      <c r="D91" s="3"/>
    </row>
    <row r="92" spans="1:4" ht="15.75" x14ac:dyDescent="0.25">
      <c r="A92" s="69"/>
      <c r="B92" s="3"/>
      <c r="C92" s="3"/>
      <c r="D92" s="3"/>
    </row>
    <row r="93" spans="1:4" ht="15.75" hidden="1" x14ac:dyDescent="0.25">
      <c r="A93" s="342" t="s">
        <v>408</v>
      </c>
      <c r="B93" s="342"/>
      <c r="C93" s="72"/>
      <c r="D93" s="3"/>
    </row>
    <row r="94" spans="1:4" ht="15.75" x14ac:dyDescent="0.25">
      <c r="A94" s="3"/>
      <c r="B94" s="70"/>
      <c r="C94" s="3"/>
      <c r="D94" s="3"/>
    </row>
    <row r="95" spans="1:4" ht="15.75" x14ac:dyDescent="0.25">
      <c r="A95" s="3"/>
      <c r="B95" s="3"/>
      <c r="C95" s="3"/>
      <c r="D95" s="3"/>
    </row>
  </sheetData>
  <autoFilter ref="A31:G88" xr:uid="{00000000-0009-0000-0000-00001D000000}">
    <filterColumn colId="1">
      <filters>
        <filter val="1 701,23"/>
        <filter val="10 474,75"/>
        <filter val="12 955,04"/>
        <filter val="14 110,81"/>
        <filter val="15 510,32"/>
        <filter val="167 915,30"/>
        <filter val="19 231,69"/>
        <filter val="19 934,26"/>
        <filter val="23 174,53"/>
        <filter val="25 077,95"/>
        <filter val="26 932,67"/>
        <filter val="28 633,90"/>
        <filter val="3 570,84"/>
        <filter val="-30 828,97"/>
        <filter val="31 791,00"/>
        <filter val="4 303,14"/>
        <filter val="41 616,86"/>
        <filter val="431 834,76"/>
        <filter val="44 188,19"/>
        <filter val="444 789,81"/>
        <filter val="45 603,64"/>
        <filter val="5 404,63"/>
        <filter val="-5 751,02"/>
        <filter val="533 747,77"/>
        <filter val="58 481,50"/>
        <filter val="6 275,88"/>
        <filter val="6 437,69"/>
        <filter val="63 573,23"/>
        <filter val="67 627,19"/>
        <filter val="70 438,61"/>
        <filter val="8 189,45"/>
        <filter val="88 957,96"/>
        <filter val="9 990,17"/>
        <filter val="930,85"/>
      </filters>
    </filterColumn>
  </autoFilter>
  <mergeCells count="9">
    <mergeCell ref="D8:D9"/>
    <mergeCell ref="A91:B91"/>
    <mergeCell ref="A93:B93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77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filterMode="1">
    <pageSetUpPr fitToPage="1"/>
  </sheetPr>
  <dimension ref="A1:G94"/>
  <sheetViews>
    <sheetView view="pageBreakPreview" topLeftCell="A40" zoomScale="90" zoomScaleNormal="100" zoomScaleSheetLayoutView="90" workbookViewId="0">
      <selection activeCell="B79" sqref="B79"/>
    </sheetView>
  </sheetViews>
  <sheetFormatPr defaultRowHeight="15.75" x14ac:dyDescent="0.25"/>
  <cols>
    <col min="1" max="1" width="96.42578125" style="3" customWidth="1"/>
    <col min="2" max="2" width="15" style="3" customWidth="1"/>
    <col min="3" max="4" width="13.85546875" style="3" customWidth="1"/>
    <col min="5" max="5" width="14.140625" style="3" customWidth="1"/>
    <col min="6" max="6" width="11.140625" style="3" customWidth="1"/>
    <col min="7" max="7" width="14" style="3" bestFit="1" customWidth="1"/>
    <col min="8" max="16384" width="9.140625" style="3"/>
  </cols>
  <sheetData>
    <row r="1" spans="1:4" ht="16.5" customHeight="1" x14ac:dyDescent="0.25">
      <c r="A1" s="313" t="s">
        <v>224</v>
      </c>
      <c r="B1" s="313"/>
    </row>
    <row r="2" spans="1:4" ht="16.5" x14ac:dyDescent="0.25">
      <c r="A2" s="315" t="s">
        <v>225</v>
      </c>
      <c r="B2" s="315"/>
    </row>
    <row r="3" spans="1:4" ht="16.5" x14ac:dyDescent="0.25">
      <c r="A3" s="315" t="s">
        <v>226</v>
      </c>
      <c r="B3" s="315"/>
    </row>
    <row r="4" spans="1:4" x14ac:dyDescent="0.25">
      <c r="A4" s="4" t="s">
        <v>516</v>
      </c>
      <c r="B4" s="4"/>
    </row>
    <row r="5" spans="1:4" x14ac:dyDescent="0.25">
      <c r="A5" s="4" t="s">
        <v>82</v>
      </c>
      <c r="B5" s="4"/>
    </row>
    <row r="6" spans="1:4" ht="5.25" customHeight="1" x14ac:dyDescent="0.25">
      <c r="A6" s="4"/>
      <c r="B6" s="8"/>
      <c r="C6" s="8"/>
    </row>
    <row r="7" spans="1:4" ht="16.5" thickBot="1" x14ac:dyDescent="0.3">
      <c r="A7" s="9"/>
      <c r="B7" s="8"/>
      <c r="C7" s="8"/>
    </row>
    <row r="8" spans="1:4" ht="15.75" customHeight="1" x14ac:dyDescent="0.25">
      <c r="A8" s="335" t="s">
        <v>227</v>
      </c>
      <c r="B8" s="337" t="s">
        <v>228</v>
      </c>
      <c r="C8" s="307" t="s">
        <v>229</v>
      </c>
      <c r="D8" s="307" t="s">
        <v>230</v>
      </c>
    </row>
    <row r="9" spans="1:4" ht="28.5" customHeight="1" thickBot="1" x14ac:dyDescent="0.3">
      <c r="A9" s="336"/>
      <c r="B9" s="338"/>
      <c r="C9" s="308"/>
      <c r="D9" s="308"/>
    </row>
    <row r="10" spans="1:4" s="212" customFormat="1" ht="16.5" thickBot="1" x14ac:dyDescent="0.3">
      <c r="A10" s="209" t="s">
        <v>231</v>
      </c>
      <c r="B10" s="302">
        <f>VLOOKUP(A5,мкд!S:T,2,FALSE)</f>
        <v>-743441.91198596067</v>
      </c>
      <c r="C10" s="211"/>
      <c r="D10" s="211"/>
    </row>
    <row r="11" spans="1:4" s="212" customFormat="1" ht="16.5" hidden="1" thickBot="1" x14ac:dyDescent="0.3">
      <c r="A11" s="213" t="s">
        <v>232</v>
      </c>
      <c r="B11" s="214"/>
      <c r="C11" s="215"/>
      <c r="D11" s="215"/>
    </row>
    <row r="12" spans="1:4" x14ac:dyDescent="0.25">
      <c r="A12" s="216" t="s">
        <v>233</v>
      </c>
      <c r="B12" s="217"/>
      <c r="C12" s="17" t="s">
        <v>234</v>
      </c>
      <c r="D12" s="18" t="s">
        <v>234</v>
      </c>
    </row>
    <row r="13" spans="1:4" hidden="1" x14ac:dyDescent="0.25">
      <c r="A13" s="19" t="s">
        <v>235</v>
      </c>
      <c r="B13" s="20">
        <v>2561.8000000000002</v>
      </c>
      <c r="C13" s="21" t="s">
        <v>234</v>
      </c>
      <c r="D13" s="22" t="s">
        <v>234</v>
      </c>
    </row>
    <row r="14" spans="1:4" hidden="1" x14ac:dyDescent="0.25">
      <c r="A14" s="19" t="s">
        <v>236</v>
      </c>
      <c r="B14" s="20">
        <v>40.4</v>
      </c>
      <c r="C14" s="21"/>
      <c r="D14" s="22"/>
    </row>
    <row r="15" spans="1:4" x14ac:dyDescent="0.25">
      <c r="A15" s="219" t="s">
        <v>237</v>
      </c>
      <c r="B15" s="23">
        <f>B13+B14</f>
        <v>2602.2000000000003</v>
      </c>
      <c r="C15" s="21"/>
      <c r="D15" s="22"/>
    </row>
    <row r="16" spans="1:4" x14ac:dyDescent="0.25">
      <c r="A16" s="219" t="s">
        <v>238</v>
      </c>
      <c r="B16" s="23">
        <f>1594.7+3183.7/3</f>
        <v>2655.9333333333334</v>
      </c>
      <c r="C16" s="21" t="s">
        <v>234</v>
      </c>
      <c r="D16" s="22" t="s">
        <v>234</v>
      </c>
    </row>
    <row r="17" spans="1:7" hidden="1" x14ac:dyDescent="0.25">
      <c r="A17" s="19" t="s">
        <v>240</v>
      </c>
      <c r="B17" s="20">
        <v>646.1</v>
      </c>
      <c r="C17" s="21" t="s">
        <v>234</v>
      </c>
      <c r="D17" s="22" t="s">
        <v>234</v>
      </c>
    </row>
    <row r="18" spans="1:7" hidden="1" x14ac:dyDescent="0.25">
      <c r="A18" s="19" t="s">
        <v>241</v>
      </c>
      <c r="B18" s="20">
        <v>840</v>
      </c>
      <c r="C18" s="21" t="s">
        <v>234</v>
      </c>
      <c r="D18" s="22" t="s">
        <v>234</v>
      </c>
    </row>
    <row r="19" spans="1:7" hidden="1" x14ac:dyDescent="0.25">
      <c r="A19" s="19" t="s">
        <v>242</v>
      </c>
      <c r="B19" s="20">
        <v>839.9</v>
      </c>
      <c r="C19" s="21"/>
      <c r="D19" s="22"/>
    </row>
    <row r="20" spans="1:7" hidden="1" x14ac:dyDescent="0.25">
      <c r="A20" s="19" t="s">
        <v>243</v>
      </c>
      <c r="B20" s="20">
        <v>0</v>
      </c>
      <c r="C20" s="21" t="s">
        <v>234</v>
      </c>
      <c r="D20" s="22" t="s">
        <v>234</v>
      </c>
    </row>
    <row r="21" spans="1:7" hidden="1" x14ac:dyDescent="0.25">
      <c r="A21" s="19" t="s">
        <v>244</v>
      </c>
      <c r="B21" s="20">
        <v>136</v>
      </c>
      <c r="C21" s="21"/>
      <c r="D21" s="22"/>
    </row>
    <row r="22" spans="1:7" x14ac:dyDescent="0.25">
      <c r="A22" s="182"/>
      <c r="B22" s="20"/>
      <c r="C22" s="21"/>
      <c r="D22" s="22"/>
      <c r="E22" s="3">
        <v>10</v>
      </c>
      <c r="F22" s="3">
        <v>2</v>
      </c>
    </row>
    <row r="23" spans="1:7" x14ac:dyDescent="0.25">
      <c r="A23" s="220" t="s">
        <v>319</v>
      </c>
      <c r="B23" s="28">
        <f>VLOOKUP(A5,'[5]Лист  1'!M$1:N$65536,2,FALSE)</f>
        <v>525988.76</v>
      </c>
      <c r="C23" s="21"/>
      <c r="D23" s="22"/>
      <c r="E23" s="26">
        <v>16.78</v>
      </c>
      <c r="F23" s="256">
        <v>18.783532000000001</v>
      </c>
    </row>
    <row r="24" spans="1:7" x14ac:dyDescent="0.25">
      <c r="A24" s="220" t="s">
        <v>320</v>
      </c>
      <c r="B24" s="28">
        <f>VLOOKUP(A5,'[5]Лист  1'!M$1:O$65536,3,FALSE)</f>
        <v>479907.32999999996</v>
      </c>
      <c r="C24" s="21"/>
      <c r="D24" s="22"/>
    </row>
    <row r="25" spans="1:7" x14ac:dyDescent="0.25">
      <c r="A25" s="220" t="s">
        <v>353</v>
      </c>
      <c r="B25" s="28">
        <v>8296.5400000000009</v>
      </c>
      <c r="C25" s="21"/>
      <c r="D25" s="22"/>
    </row>
    <row r="26" spans="1:7" x14ac:dyDescent="0.25">
      <c r="A26" s="220" t="s">
        <v>354</v>
      </c>
      <c r="B26" s="28">
        <v>5897.58</v>
      </c>
      <c r="C26" s="21"/>
      <c r="D26" s="22"/>
    </row>
    <row r="27" spans="1:7" x14ac:dyDescent="0.25">
      <c r="A27" s="220" t="s">
        <v>399</v>
      </c>
      <c r="B27" s="28">
        <v>7611.96</v>
      </c>
      <c r="C27" s="21"/>
      <c r="D27" s="22"/>
    </row>
    <row r="28" spans="1:7" hidden="1" x14ac:dyDescent="0.25">
      <c r="A28" s="220" t="s">
        <v>250</v>
      </c>
      <c r="B28" s="23"/>
      <c r="C28" s="21"/>
      <c r="D28" s="22"/>
    </row>
    <row r="29" spans="1:7" x14ac:dyDescent="0.25">
      <c r="A29" s="221"/>
      <c r="B29" s="23"/>
      <c r="C29" s="21"/>
      <c r="D29" s="22"/>
    </row>
    <row r="30" spans="1:7" x14ac:dyDescent="0.25">
      <c r="A30" s="222" t="s">
        <v>251</v>
      </c>
      <c r="B30" s="23"/>
      <c r="C30" s="21"/>
      <c r="D30" s="22"/>
    </row>
    <row r="31" spans="1:7" s="34" customFormat="1" ht="31.5" x14ac:dyDescent="0.25">
      <c r="A31" s="223" t="s">
        <v>252</v>
      </c>
      <c r="B31" s="208">
        <f>SUM(B32:B39)</f>
        <v>85964.63</v>
      </c>
      <c r="C31" s="21"/>
      <c r="D31" s="22"/>
      <c r="E31" s="33">
        <f>(B84-B23-B25)/1.2/1.03</f>
        <v>145555.22620223346</v>
      </c>
      <c r="F31" s="33" t="e">
        <f>(#REF!-#REF!-#REF!)/1.2/1.03</f>
        <v>#REF!</v>
      </c>
      <c r="G31" s="33" t="e">
        <f>(#REF!-#REF!-#REF!)/1.2/1.03</f>
        <v>#REF!</v>
      </c>
    </row>
    <row r="32" spans="1:7" x14ac:dyDescent="0.25">
      <c r="A32" s="224" t="s">
        <v>253</v>
      </c>
      <c r="B32" s="23">
        <f>33000*1.12</f>
        <v>36960</v>
      </c>
      <c r="C32" s="21"/>
      <c r="D32" s="22">
        <v>35990.85</v>
      </c>
    </row>
    <row r="33" spans="1:7" x14ac:dyDescent="0.25">
      <c r="A33" s="224" t="s">
        <v>400</v>
      </c>
      <c r="B33" s="262"/>
      <c r="C33" s="21"/>
      <c r="D33" s="22">
        <v>0</v>
      </c>
    </row>
    <row r="34" spans="1:7" x14ac:dyDescent="0.25">
      <c r="A34" s="257" t="s">
        <v>443</v>
      </c>
      <c r="B34" s="258">
        <f>16160.7+32843.93</f>
        <v>49004.630000000005</v>
      </c>
      <c r="C34" s="21"/>
      <c r="D34" s="22">
        <v>0</v>
      </c>
    </row>
    <row r="35" spans="1:7" hidden="1" x14ac:dyDescent="0.25">
      <c r="A35" s="225" t="s">
        <v>257</v>
      </c>
      <c r="B35" s="107"/>
      <c r="C35" s="21"/>
      <c r="D35" s="22">
        <v>0</v>
      </c>
    </row>
    <row r="36" spans="1:7" hidden="1" x14ac:dyDescent="0.25">
      <c r="A36" s="224" t="s">
        <v>258</v>
      </c>
      <c r="B36" s="262">
        <v>0</v>
      </c>
      <c r="C36" s="21"/>
      <c r="D36" s="22">
        <v>0</v>
      </c>
    </row>
    <row r="37" spans="1:7" hidden="1" x14ac:dyDescent="0.25">
      <c r="A37" s="224" t="s">
        <v>259</v>
      </c>
      <c r="B37" s="23">
        <v>0</v>
      </c>
      <c r="C37" s="21"/>
      <c r="D37" s="22">
        <v>0</v>
      </c>
    </row>
    <row r="38" spans="1:7" hidden="1" x14ac:dyDescent="0.25">
      <c r="A38" s="224" t="s">
        <v>312</v>
      </c>
      <c r="B38" s="23">
        <v>0</v>
      </c>
      <c r="C38" s="21"/>
      <c r="D38" s="22"/>
    </row>
    <row r="39" spans="1:7" hidden="1" x14ac:dyDescent="0.25">
      <c r="A39" s="35" t="s">
        <v>363</v>
      </c>
      <c r="B39" s="23"/>
      <c r="C39" s="21"/>
      <c r="D39" s="22"/>
    </row>
    <row r="40" spans="1:7" s="34" customFormat="1" ht="47.25" x14ac:dyDescent="0.25">
      <c r="A40" s="186" t="s">
        <v>401</v>
      </c>
      <c r="B40" s="32">
        <f>SUM(B41:B43)</f>
        <v>64351.498350593596</v>
      </c>
      <c r="C40" s="21"/>
      <c r="D40" s="22"/>
      <c r="E40" s="33"/>
      <c r="F40" s="33"/>
      <c r="G40" s="33"/>
    </row>
    <row r="41" spans="1:7" x14ac:dyDescent="0.25">
      <c r="A41" s="35" t="s">
        <v>262</v>
      </c>
      <c r="B41" s="23">
        <f>1.04*31644.11*1.12</f>
        <v>36859.059328000003</v>
      </c>
      <c r="C41" s="39"/>
      <c r="D41" s="40"/>
    </row>
    <row r="42" spans="1:7" x14ac:dyDescent="0.25">
      <c r="A42" s="224" t="s">
        <v>263</v>
      </c>
      <c r="B42" s="23">
        <f>1.04*6920.27*1.12</f>
        <v>8060.730496000001</v>
      </c>
      <c r="C42" s="39"/>
      <c r="D42" s="40"/>
    </row>
    <row r="43" spans="1:7" x14ac:dyDescent="0.25">
      <c r="A43" s="41" t="s">
        <v>264</v>
      </c>
      <c r="B43" s="23">
        <f>1.04*16682.4420729684*1.12</f>
        <v>19431.708526593593</v>
      </c>
      <c r="C43" s="39"/>
      <c r="D43" s="40"/>
    </row>
    <row r="44" spans="1:7" s="8" customFormat="1" x14ac:dyDescent="0.25">
      <c r="A44" s="31" t="s">
        <v>265</v>
      </c>
      <c r="B44" s="208">
        <f>SUM(B45:B63)</f>
        <v>36755.68</v>
      </c>
      <c r="C44" s="21"/>
      <c r="D44" s="22"/>
    </row>
    <row r="45" spans="1:7" x14ac:dyDescent="0.25">
      <c r="A45" s="224" t="s">
        <v>326</v>
      </c>
      <c r="B45" s="23">
        <v>2713.68</v>
      </c>
      <c r="C45" s="21"/>
      <c r="D45" s="22"/>
      <c r="E45" s="3" t="s">
        <v>267</v>
      </c>
    </row>
    <row r="46" spans="1:7" x14ac:dyDescent="0.25">
      <c r="A46" s="224" t="s">
        <v>317</v>
      </c>
      <c r="B46" s="23">
        <v>3295.14</v>
      </c>
      <c r="C46" s="21"/>
      <c r="D46" s="22"/>
      <c r="E46" s="3" t="s">
        <v>269</v>
      </c>
    </row>
    <row r="47" spans="1:7" hidden="1" x14ac:dyDescent="0.25">
      <c r="A47" s="42" t="s">
        <v>270</v>
      </c>
      <c r="B47" s="23">
        <v>0</v>
      </c>
      <c r="C47" s="21"/>
      <c r="D47" s="22"/>
    </row>
    <row r="48" spans="1:7" hidden="1" x14ac:dyDescent="0.25">
      <c r="A48" s="42" t="s">
        <v>271</v>
      </c>
      <c r="B48" s="23">
        <v>0</v>
      </c>
      <c r="C48" s="21"/>
      <c r="D48" s="22"/>
    </row>
    <row r="49" spans="1:5" hidden="1" x14ac:dyDescent="0.25">
      <c r="A49" s="143" t="s">
        <v>454</v>
      </c>
      <c r="B49" s="23"/>
      <c r="C49" s="21"/>
      <c r="D49" s="22"/>
    </row>
    <row r="50" spans="1:5" hidden="1" x14ac:dyDescent="0.25">
      <c r="A50" s="143" t="s">
        <v>273</v>
      </c>
      <c r="B50" s="105">
        <f>B20*'[6]32тарифы'!D177</f>
        <v>0</v>
      </c>
      <c r="C50" s="21"/>
      <c r="D50" s="22">
        <v>105.14</v>
      </c>
    </row>
    <row r="51" spans="1:5" hidden="1" x14ac:dyDescent="0.25">
      <c r="A51" s="143" t="s">
        <v>274</v>
      </c>
      <c r="B51" s="23">
        <v>0</v>
      </c>
      <c r="C51" s="21">
        <v>0</v>
      </c>
      <c r="D51" s="22">
        <v>522.99</v>
      </c>
    </row>
    <row r="52" spans="1:5" x14ac:dyDescent="0.25">
      <c r="A52" s="143" t="s">
        <v>359</v>
      </c>
      <c r="B52" s="23">
        <v>8133.61</v>
      </c>
      <c r="C52" s="21">
        <v>1</v>
      </c>
      <c r="D52" s="44">
        <v>657.53</v>
      </c>
    </row>
    <row r="53" spans="1:5" hidden="1" x14ac:dyDescent="0.25">
      <c r="A53" s="228" t="s">
        <v>351</v>
      </c>
      <c r="B53" s="20"/>
      <c r="C53" s="21"/>
      <c r="D53" s="44"/>
    </row>
    <row r="54" spans="1:5" hidden="1" x14ac:dyDescent="0.25">
      <c r="A54" s="42" t="s">
        <v>412</v>
      </c>
      <c r="B54" s="20"/>
      <c r="C54" s="21">
        <v>0</v>
      </c>
      <c r="D54" s="22">
        <f>10695.76/1.18</f>
        <v>9064.203389830509</v>
      </c>
    </row>
    <row r="55" spans="1:5" hidden="1" x14ac:dyDescent="0.25">
      <c r="A55" s="143" t="s">
        <v>314</v>
      </c>
      <c r="B55" s="23">
        <v>0</v>
      </c>
      <c r="C55" s="21">
        <v>0</v>
      </c>
      <c r="D55" s="22">
        <f>2300/1.18</f>
        <v>1949.1525423728815</v>
      </c>
      <c r="E55" s="227">
        <f>B78+B44-B57+634.46</f>
        <v>50354.65</v>
      </c>
    </row>
    <row r="56" spans="1:5" hidden="1" x14ac:dyDescent="0.25">
      <c r="A56" s="143" t="s">
        <v>380</v>
      </c>
      <c r="B56" s="23"/>
      <c r="C56" s="21">
        <v>0</v>
      </c>
      <c r="D56" s="22">
        <v>0</v>
      </c>
    </row>
    <row r="57" spans="1:5" hidden="1" x14ac:dyDescent="0.25">
      <c r="A57" s="143" t="s">
        <v>279</v>
      </c>
      <c r="B57" s="23">
        <f>B13*'[6]32тарифы'!D184</f>
        <v>0</v>
      </c>
      <c r="C57" s="21"/>
      <c r="D57" s="22"/>
    </row>
    <row r="58" spans="1:5" hidden="1" x14ac:dyDescent="0.25">
      <c r="A58" s="35" t="s">
        <v>280</v>
      </c>
      <c r="B58" s="105">
        <v>0</v>
      </c>
      <c r="C58" s="21"/>
      <c r="D58" s="22"/>
    </row>
    <row r="59" spans="1:5" hidden="1" x14ac:dyDescent="0.25">
      <c r="A59" s="35" t="s">
        <v>281</v>
      </c>
      <c r="B59" s="105">
        <v>0</v>
      </c>
      <c r="C59" s="21"/>
      <c r="D59" s="22">
        <v>0</v>
      </c>
    </row>
    <row r="60" spans="1:5" hidden="1" x14ac:dyDescent="0.25">
      <c r="A60" s="35" t="s">
        <v>348</v>
      </c>
      <c r="B60" s="20"/>
      <c r="C60" s="21"/>
      <c r="D60" s="22">
        <v>0</v>
      </c>
    </row>
    <row r="61" spans="1:5" x14ac:dyDescent="0.25">
      <c r="A61" s="187" t="s">
        <v>327</v>
      </c>
      <c r="B61" s="112">
        <v>18340.5</v>
      </c>
      <c r="C61" s="46">
        <v>1</v>
      </c>
      <c r="D61" s="22">
        <v>0</v>
      </c>
    </row>
    <row r="62" spans="1:5" ht="15.75" customHeight="1" x14ac:dyDescent="0.25">
      <c r="A62" s="224" t="s">
        <v>542</v>
      </c>
      <c r="B62" s="229">
        <v>4200</v>
      </c>
      <c r="C62" s="46">
        <v>59</v>
      </c>
      <c r="D62" s="22">
        <v>2</v>
      </c>
      <c r="E62" s="3">
        <v>1</v>
      </c>
    </row>
    <row r="63" spans="1:5" x14ac:dyDescent="0.25">
      <c r="A63" s="224" t="s">
        <v>282</v>
      </c>
      <c r="B63" s="229">
        <v>72.75</v>
      </c>
      <c r="C63" s="48"/>
      <c r="D63" s="40">
        <v>0</v>
      </c>
    </row>
    <row r="64" spans="1:5" s="8" customFormat="1" x14ac:dyDescent="0.25">
      <c r="A64" s="189" t="s">
        <v>286</v>
      </c>
      <c r="B64" s="32">
        <f>SUM(B65:B72)</f>
        <v>217514.90120205781</v>
      </c>
      <c r="C64" s="39"/>
      <c r="D64" s="40"/>
    </row>
    <row r="65" spans="1:4" hidden="1" x14ac:dyDescent="0.25">
      <c r="A65" s="35" t="s">
        <v>287</v>
      </c>
      <c r="B65" s="23">
        <v>0</v>
      </c>
      <c r="C65" s="39"/>
      <c r="D65" s="40"/>
    </row>
    <row r="66" spans="1:4" x14ac:dyDescent="0.25">
      <c r="A66" s="224" t="s">
        <v>288</v>
      </c>
      <c r="B66" s="23">
        <f>100573*1.04*1.12</f>
        <v>117147.43040000001</v>
      </c>
      <c r="C66" s="39"/>
      <c r="D66" s="40"/>
    </row>
    <row r="67" spans="1:4" hidden="1" x14ac:dyDescent="0.25">
      <c r="A67" s="35" t="s">
        <v>289</v>
      </c>
      <c r="B67" s="23">
        <v>0</v>
      </c>
      <c r="C67" s="39"/>
      <c r="D67" s="40"/>
    </row>
    <row r="68" spans="1:4" x14ac:dyDescent="0.25">
      <c r="A68" s="226" t="s">
        <v>290</v>
      </c>
      <c r="B68" s="232">
        <f>'[6]32тарифы'!D164*B13*1.12</f>
        <v>3163.2306571191998</v>
      </c>
      <c r="C68" s="39"/>
      <c r="D68" s="40"/>
    </row>
    <row r="69" spans="1:4" x14ac:dyDescent="0.25">
      <c r="A69" s="163" t="s">
        <v>291</v>
      </c>
      <c r="B69" s="20">
        <f>'[6]32тарифы'!D165*B15*1.12</f>
        <v>16641.259922676483</v>
      </c>
      <c r="C69" s="39"/>
      <c r="D69" s="40"/>
    </row>
    <row r="70" spans="1:4" x14ac:dyDescent="0.25">
      <c r="A70" s="226" t="s">
        <v>292</v>
      </c>
      <c r="B70" s="23">
        <f>26577*1.04*1.12</f>
        <v>30956.889600000006</v>
      </c>
      <c r="C70" s="39"/>
      <c r="D70" s="40"/>
    </row>
    <row r="71" spans="1:4" x14ac:dyDescent="0.25">
      <c r="A71" s="226" t="s">
        <v>293</v>
      </c>
      <c r="B71" s="23">
        <f>4509*1.04*1.12</f>
        <v>5252.0832000000009</v>
      </c>
      <c r="C71" s="39"/>
      <c r="D71" s="40"/>
    </row>
    <row r="72" spans="1:4" x14ac:dyDescent="0.25">
      <c r="A72" s="226" t="s">
        <v>294</v>
      </c>
      <c r="B72" s="23">
        <f>1.04*38078.6464820245*1.12</f>
        <v>44354.007422262141</v>
      </c>
      <c r="C72" s="39"/>
      <c r="D72" s="40"/>
    </row>
    <row r="73" spans="1:4" ht="63" x14ac:dyDescent="0.25">
      <c r="A73" s="233" t="s">
        <v>295</v>
      </c>
      <c r="B73" s="208">
        <f>SUM(B74:B74)</f>
        <v>87183.040000000008</v>
      </c>
      <c r="C73" s="39"/>
      <c r="D73" s="40"/>
    </row>
    <row r="74" spans="1:4" x14ac:dyDescent="0.25">
      <c r="A74" s="226" t="s">
        <v>296</v>
      </c>
      <c r="B74" s="23">
        <f>77842*1.12</f>
        <v>87183.040000000008</v>
      </c>
      <c r="C74" s="39"/>
      <c r="D74" s="40"/>
    </row>
    <row r="75" spans="1:4" s="8" customFormat="1" x14ac:dyDescent="0.25">
      <c r="A75" s="230" t="s">
        <v>297</v>
      </c>
      <c r="B75" s="208">
        <f>SUM(B76:B79)</f>
        <v>86055.136843756904</v>
      </c>
      <c r="C75" s="39"/>
      <c r="D75" s="40"/>
    </row>
    <row r="76" spans="1:4" x14ac:dyDescent="0.25">
      <c r="A76" s="234" t="s">
        <v>298</v>
      </c>
      <c r="B76" s="23">
        <f>'[6]32тарифы'!D170*B15*1.12</f>
        <v>62801.278142768053</v>
      </c>
      <c r="C76" s="39"/>
      <c r="D76" s="40"/>
    </row>
    <row r="77" spans="1:4" ht="21" customHeight="1" x14ac:dyDescent="0.25">
      <c r="A77" s="234" t="s">
        <v>299</v>
      </c>
      <c r="B77" s="23">
        <v>4658</v>
      </c>
      <c r="C77" s="39"/>
      <c r="D77" s="40"/>
    </row>
    <row r="78" spans="1:4" x14ac:dyDescent="0.25">
      <c r="A78" s="235" t="s">
        <v>300</v>
      </c>
      <c r="B78" s="23">
        <f>7399.35+5565.16</f>
        <v>12964.51</v>
      </c>
      <c r="C78" s="39"/>
      <c r="D78" s="40"/>
    </row>
    <row r="79" spans="1:4" x14ac:dyDescent="0.25">
      <c r="A79" s="235" t="s">
        <v>301</v>
      </c>
      <c r="B79" s="232">
        <f>'[6]32тарифы'!D173*B13*1.12</f>
        <v>5631.3487009888622</v>
      </c>
      <c r="C79" s="39"/>
      <c r="D79" s="40"/>
    </row>
    <row r="80" spans="1:4" x14ac:dyDescent="0.25">
      <c r="A80" s="236" t="s">
        <v>302</v>
      </c>
      <c r="B80" s="28">
        <f>B31+B40+B44+B64+B73+B75</f>
        <v>577824.88639640831</v>
      </c>
      <c r="C80" s="39"/>
      <c r="D80" s="40"/>
    </row>
    <row r="81" spans="1:4" x14ac:dyDescent="0.25">
      <c r="A81" s="237" t="s">
        <v>303</v>
      </c>
      <c r="B81" s="23">
        <f>B80*0.03</f>
        <v>17334.74659189225</v>
      </c>
      <c r="C81" s="39"/>
      <c r="D81" s="40"/>
    </row>
    <row r="82" spans="1:4" s="34" customFormat="1" x14ac:dyDescent="0.25">
      <c r="A82" s="238" t="s">
        <v>304</v>
      </c>
      <c r="B82" s="208">
        <f>B80+B81</f>
        <v>595159.63298830052</v>
      </c>
      <c r="C82" s="39"/>
      <c r="D82" s="40"/>
    </row>
    <row r="83" spans="1:4" ht="16.5" thickBot="1" x14ac:dyDescent="0.3">
      <c r="A83" s="239" t="s">
        <v>305</v>
      </c>
      <c r="B83" s="240">
        <f>B82*0.2</f>
        <v>119031.92659766012</v>
      </c>
      <c r="C83" s="39"/>
      <c r="D83" s="40"/>
    </row>
    <row r="84" spans="1:4" s="8" customFormat="1" ht="16.5" thickBot="1" x14ac:dyDescent="0.3">
      <c r="A84" s="62" t="s">
        <v>306</v>
      </c>
      <c r="B84" s="66">
        <f>B82+B83</f>
        <v>714191.55958596058</v>
      </c>
      <c r="C84" s="60"/>
      <c r="D84" s="61"/>
    </row>
    <row r="85" spans="1:4" s="8" customFormat="1" ht="16.5" thickBot="1" x14ac:dyDescent="0.3">
      <c r="A85" s="62" t="s">
        <v>307</v>
      </c>
      <c r="B85" s="66">
        <f>B10+B23+B25+B27+B28-B84</f>
        <v>-915736.21157192125</v>
      </c>
      <c r="C85" s="63"/>
      <c r="D85" s="63"/>
    </row>
    <row r="86" spans="1:4" s="8" customFormat="1" ht="16.5" thickBot="1" x14ac:dyDescent="0.3">
      <c r="A86" s="64" t="s">
        <v>308</v>
      </c>
      <c r="B86" s="66">
        <f>B10+B24+B26+B27+B28-B84</f>
        <v>-964216.60157192126</v>
      </c>
      <c r="C86" s="63"/>
      <c r="D86" s="63"/>
    </row>
    <row r="87" spans="1:4" s="8" customFormat="1" ht="16.5" hidden="1" thickBot="1" x14ac:dyDescent="0.3">
      <c r="A87" s="241" t="s">
        <v>309</v>
      </c>
      <c r="B87" s="296">
        <f>B11+B23-B24</f>
        <v>46081.430000000051</v>
      </c>
      <c r="C87" s="63"/>
      <c r="D87" s="63"/>
    </row>
    <row r="88" spans="1:4" x14ac:dyDescent="0.25">
      <c r="B88" s="227"/>
    </row>
    <row r="89" spans="1:4" ht="10.5" customHeight="1" x14ac:dyDescent="0.25">
      <c r="A89" s="69"/>
    </row>
    <row r="90" spans="1:4" x14ac:dyDescent="0.25">
      <c r="A90" s="333" t="s">
        <v>407</v>
      </c>
      <c r="B90" s="333"/>
    </row>
    <row r="91" spans="1:4" x14ac:dyDescent="0.25">
      <c r="A91" s="69"/>
    </row>
    <row r="92" spans="1:4" hidden="1" x14ac:dyDescent="0.25">
      <c r="A92" s="342" t="s">
        <v>408</v>
      </c>
      <c r="B92" s="342"/>
      <c r="C92" s="72"/>
    </row>
    <row r="93" spans="1:4" x14ac:dyDescent="0.25">
      <c r="A93"/>
      <c r="B93"/>
      <c r="C93"/>
      <c r="D93"/>
    </row>
    <row r="94" spans="1:4" x14ac:dyDescent="0.25">
      <c r="B94" s="70"/>
    </row>
  </sheetData>
  <autoFilter ref="A30:G87" xr:uid="{00000000-0009-0000-0000-00001E000000}">
    <filterColumn colId="1">
      <filters>
        <filter val="1 012,10"/>
        <filter val="1 744,51"/>
        <filter val="1 954,96"/>
        <filter val="100 572,06"/>
        <filter val="11 248,85"/>
        <filter val="12 123,14"/>
        <filter val="15 690,12"/>
        <filter val="179 931,41"/>
        <filter val="2 865,76"/>
        <filter val="25 916,02"/>
        <filter val="28 377,33"/>
        <filter val="3 453,45"/>
        <filter val="30 030,70"/>
        <filter val="30 300,42"/>
        <filter val="30 528,41"/>
        <filter val="33 285,02"/>
        <filter val="33 926,07"/>
        <filter val="36 022,22"/>
        <filter val="4 405,85"/>
        <filter val="4 997,30"/>
        <filter val="404 104,71"/>
        <filter val="416 227,86"/>
        <filter val="-432 079,81"/>
        <filter val="-460 457,14"/>
        <filter val="49 162,82"/>
        <filter val="499 473,43"/>
        <filter val="6 562,11"/>
        <filter val="6 572,40"/>
        <filter val="678,40"/>
        <filter val="7 732,19"/>
        <filter val="7 890,24"/>
        <filter val="785,34"/>
        <filter val="8 539,01"/>
        <filter val="81 394,34"/>
        <filter val="83 245,57"/>
        <filter val="9 613,00"/>
      </filters>
    </filterColumn>
  </autoFilter>
  <mergeCells count="9">
    <mergeCell ref="D8:D9"/>
    <mergeCell ref="A90:B90"/>
    <mergeCell ref="A92:B92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77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filterMode="1">
    <pageSetUpPr fitToPage="1"/>
  </sheetPr>
  <dimension ref="A1:G95"/>
  <sheetViews>
    <sheetView view="pageBreakPreview" topLeftCell="A31" zoomScale="70" zoomScaleNormal="100" zoomScaleSheetLayoutView="70" workbookViewId="0">
      <selection activeCell="B81" sqref="B81"/>
    </sheetView>
  </sheetViews>
  <sheetFormatPr defaultRowHeight="12.75" x14ac:dyDescent="0.2"/>
  <cols>
    <col min="1" max="1" width="96.42578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13" t="s">
        <v>224</v>
      </c>
      <c r="B1" s="313"/>
      <c r="C1" s="3"/>
      <c r="D1" s="3"/>
    </row>
    <row r="2" spans="1:4" ht="16.5" x14ac:dyDescent="0.25">
      <c r="A2" s="315" t="s">
        <v>225</v>
      </c>
      <c r="B2" s="315"/>
      <c r="C2" s="3"/>
      <c r="D2" s="3"/>
    </row>
    <row r="3" spans="1:4" ht="16.5" x14ac:dyDescent="0.25">
      <c r="A3" s="315" t="s">
        <v>226</v>
      </c>
      <c r="B3" s="315"/>
      <c r="C3" s="3"/>
      <c r="D3" s="3"/>
    </row>
    <row r="4" spans="1:4" ht="15.75" x14ac:dyDescent="0.25">
      <c r="A4" s="4" t="s">
        <v>516</v>
      </c>
      <c r="B4" s="4"/>
      <c r="C4" s="3"/>
      <c r="D4" s="3"/>
    </row>
    <row r="5" spans="1:4" ht="15.75" x14ac:dyDescent="0.25">
      <c r="A5" s="4" t="s">
        <v>83</v>
      </c>
      <c r="B5" s="4"/>
      <c r="C5" s="3"/>
      <c r="D5" s="3"/>
    </row>
    <row r="6" spans="1:4" ht="5.25" customHeight="1" x14ac:dyDescent="0.25">
      <c r="A6" s="4"/>
      <c r="B6" s="8"/>
      <c r="C6" s="8"/>
      <c r="D6" s="3"/>
    </row>
    <row r="7" spans="1:4" ht="16.5" thickBot="1" x14ac:dyDescent="0.3">
      <c r="A7" s="9"/>
      <c r="B7" s="8"/>
      <c r="C7" s="8"/>
      <c r="D7" s="3"/>
    </row>
    <row r="8" spans="1:4" ht="15.75" customHeight="1" x14ac:dyDescent="0.2">
      <c r="A8" s="335" t="s">
        <v>227</v>
      </c>
      <c r="B8" s="337" t="s">
        <v>228</v>
      </c>
      <c r="C8" s="307" t="s">
        <v>229</v>
      </c>
      <c r="D8" s="307" t="s">
        <v>230</v>
      </c>
    </row>
    <row r="9" spans="1:4" ht="28.5" customHeight="1" thickBot="1" x14ac:dyDescent="0.25">
      <c r="A9" s="336"/>
      <c r="B9" s="338"/>
      <c r="C9" s="308"/>
      <c r="D9" s="308"/>
    </row>
    <row r="10" spans="1:4" s="212" customFormat="1" ht="16.5" thickBot="1" x14ac:dyDescent="0.3">
      <c r="A10" s="209" t="s">
        <v>231</v>
      </c>
      <c r="B10" s="302">
        <f>VLOOKUP(A5,мкд!S:T,2,FALSE)</f>
        <v>-1425739.9</v>
      </c>
      <c r="C10" s="211"/>
      <c r="D10" s="211"/>
    </row>
    <row r="11" spans="1:4" s="212" customFormat="1" ht="16.5" hidden="1" thickBot="1" x14ac:dyDescent="0.3">
      <c r="A11" s="213" t="s">
        <v>232</v>
      </c>
      <c r="B11" s="214"/>
      <c r="C11" s="215"/>
      <c r="D11" s="215"/>
    </row>
    <row r="12" spans="1:4" ht="15.75" x14ac:dyDescent="0.25">
      <c r="A12" s="216" t="s">
        <v>233</v>
      </c>
      <c r="B12" s="217"/>
      <c r="C12" s="17" t="s">
        <v>234</v>
      </c>
      <c r="D12" s="18" t="s">
        <v>234</v>
      </c>
    </row>
    <row r="13" spans="1:4" ht="15.75" hidden="1" x14ac:dyDescent="0.25">
      <c r="A13" s="19" t="s">
        <v>235</v>
      </c>
      <c r="B13" s="20">
        <v>3523.3</v>
      </c>
      <c r="C13" s="21" t="s">
        <v>234</v>
      </c>
      <c r="D13" s="22" t="s">
        <v>234</v>
      </c>
    </row>
    <row r="14" spans="1:4" ht="15.75" hidden="1" x14ac:dyDescent="0.25">
      <c r="A14" s="19" t="s">
        <v>236</v>
      </c>
      <c r="B14" s="20">
        <v>0</v>
      </c>
      <c r="C14" s="21"/>
      <c r="D14" s="22"/>
    </row>
    <row r="15" spans="1:4" ht="15.75" x14ac:dyDescent="0.25">
      <c r="A15" s="219" t="s">
        <v>237</v>
      </c>
      <c r="B15" s="23">
        <f>B13+B14</f>
        <v>3523.3</v>
      </c>
      <c r="C15" s="21"/>
      <c r="D15" s="22"/>
    </row>
    <row r="16" spans="1:4" ht="15.75" x14ac:dyDescent="0.25">
      <c r="A16" s="219" t="s">
        <v>238</v>
      </c>
      <c r="B16" s="23">
        <f>986.1+4636.3/3</f>
        <v>2531.5333333333333</v>
      </c>
      <c r="C16" s="21" t="s">
        <v>234</v>
      </c>
      <c r="D16" s="22" t="s">
        <v>234</v>
      </c>
    </row>
    <row r="17" spans="1:7" ht="15.75" hidden="1" x14ac:dyDescent="0.25">
      <c r="A17" s="19" t="s">
        <v>239</v>
      </c>
      <c r="B17" s="20">
        <v>0</v>
      </c>
      <c r="C17" s="21" t="s">
        <v>234</v>
      </c>
      <c r="D17" s="22" t="s">
        <v>234</v>
      </c>
      <c r="E17" s="3"/>
      <c r="F17" s="3"/>
      <c r="G17" s="3"/>
    </row>
    <row r="18" spans="1:7" ht="15.75" hidden="1" x14ac:dyDescent="0.25">
      <c r="A18" s="19" t="s">
        <v>240</v>
      </c>
      <c r="B18" s="20">
        <v>882.1</v>
      </c>
      <c r="C18" s="21" t="s">
        <v>234</v>
      </c>
      <c r="D18" s="22" t="s">
        <v>234</v>
      </c>
      <c r="E18" s="3"/>
      <c r="F18" s="3"/>
      <c r="G18" s="3"/>
    </row>
    <row r="19" spans="1:7" ht="15.75" hidden="1" x14ac:dyDescent="0.25">
      <c r="A19" s="19" t="s">
        <v>241</v>
      </c>
      <c r="B19" s="20">
        <v>720</v>
      </c>
      <c r="C19" s="21" t="s">
        <v>234</v>
      </c>
      <c r="D19" s="22" t="s">
        <v>234</v>
      </c>
      <c r="E19" s="3"/>
      <c r="F19" s="3"/>
      <c r="G19" s="3"/>
    </row>
    <row r="20" spans="1:7" ht="15.75" hidden="1" x14ac:dyDescent="0.25">
      <c r="A20" s="19" t="s">
        <v>242</v>
      </c>
      <c r="B20" s="20">
        <v>1147</v>
      </c>
      <c r="C20" s="21"/>
      <c r="D20" s="22"/>
      <c r="E20" s="3"/>
      <c r="F20" s="3"/>
      <c r="G20" s="3"/>
    </row>
    <row r="21" spans="1:7" ht="15.75" hidden="1" x14ac:dyDescent="0.25">
      <c r="A21" s="19" t="s">
        <v>243</v>
      </c>
      <c r="B21" s="20">
        <v>0</v>
      </c>
      <c r="C21" s="21" t="s">
        <v>234</v>
      </c>
      <c r="D21" s="22" t="s">
        <v>234</v>
      </c>
      <c r="E21" s="3"/>
      <c r="F21" s="3"/>
      <c r="G21" s="3"/>
    </row>
    <row r="22" spans="1:7" ht="15.75" hidden="1" x14ac:dyDescent="0.25">
      <c r="A22" s="19" t="s">
        <v>244</v>
      </c>
      <c r="B22" s="20">
        <v>195</v>
      </c>
      <c r="C22" s="21"/>
      <c r="D22" s="22"/>
      <c r="E22" s="3"/>
      <c r="F22" s="3"/>
      <c r="G22" s="3"/>
    </row>
    <row r="23" spans="1:7" ht="15.75" x14ac:dyDescent="0.25">
      <c r="A23" s="219"/>
      <c r="B23" s="23"/>
      <c r="C23" s="21"/>
      <c r="D23" s="22"/>
      <c r="E23" s="3">
        <v>10</v>
      </c>
      <c r="F23" s="3">
        <v>2</v>
      </c>
      <c r="G23" s="3"/>
    </row>
    <row r="24" spans="1:7" ht="15.75" x14ac:dyDescent="0.25">
      <c r="A24" s="220" t="s">
        <v>319</v>
      </c>
      <c r="B24" s="28">
        <f>VLOOKUP(A5,'[5]Лист  1'!M$1:N$65536,2,FALSE)</f>
        <v>667524.88</v>
      </c>
      <c r="C24" s="21"/>
      <c r="D24" s="22"/>
      <c r="E24" s="3">
        <v>15.48</v>
      </c>
      <c r="F24" s="3">
        <v>17.328312</v>
      </c>
      <c r="G24" s="3"/>
    </row>
    <row r="25" spans="1:7" ht="15.75" x14ac:dyDescent="0.25">
      <c r="A25" s="220" t="s">
        <v>320</v>
      </c>
      <c r="B25" s="28">
        <f>VLOOKUP(A5,'[5]Лист  1'!M$1:O$65536,3,FALSE)</f>
        <v>724217.25</v>
      </c>
      <c r="C25" s="21"/>
      <c r="D25" s="22"/>
      <c r="E25" s="3"/>
      <c r="F25" s="3"/>
      <c r="G25" s="3"/>
    </row>
    <row r="26" spans="1:7" ht="15.75" hidden="1" x14ac:dyDescent="0.25">
      <c r="A26" s="220" t="s">
        <v>321</v>
      </c>
      <c r="B26" s="28"/>
      <c r="C26" s="21"/>
      <c r="D26" s="22"/>
      <c r="E26" s="3"/>
      <c r="F26" s="3"/>
      <c r="G26" s="3"/>
    </row>
    <row r="27" spans="1:7" ht="15.75" hidden="1" x14ac:dyDescent="0.25">
      <c r="A27" s="220" t="s">
        <v>248</v>
      </c>
      <c r="B27" s="28">
        <f>B26</f>
        <v>0</v>
      </c>
      <c r="C27" s="21"/>
      <c r="D27" s="22"/>
      <c r="E27" s="3"/>
      <c r="F27" s="3"/>
      <c r="G27" s="3"/>
    </row>
    <row r="28" spans="1:7" ht="15.75" x14ac:dyDescent="0.25">
      <c r="A28" s="220" t="s">
        <v>399</v>
      </c>
      <c r="B28" s="28">
        <v>9289.92</v>
      </c>
      <c r="C28" s="21"/>
      <c r="D28" s="22"/>
      <c r="E28" s="3"/>
      <c r="F28" s="3"/>
      <c r="G28" s="3"/>
    </row>
    <row r="29" spans="1:7" ht="15.75" x14ac:dyDescent="0.25">
      <c r="A29" s="220" t="s">
        <v>250</v>
      </c>
      <c r="B29" s="23"/>
      <c r="C29" s="21"/>
      <c r="D29" s="22"/>
      <c r="E29" s="3"/>
      <c r="F29" s="3"/>
      <c r="G29" s="3"/>
    </row>
    <row r="30" spans="1:7" ht="15.75" x14ac:dyDescent="0.25">
      <c r="A30" s="221"/>
      <c r="B30" s="23"/>
      <c r="C30" s="21"/>
      <c r="D30" s="22"/>
      <c r="E30" s="3"/>
      <c r="F30" s="3"/>
      <c r="G30" s="3"/>
    </row>
    <row r="31" spans="1:7" ht="15.75" x14ac:dyDescent="0.25">
      <c r="A31" s="222" t="s">
        <v>251</v>
      </c>
      <c r="B31" s="23"/>
      <c r="C31" s="21"/>
      <c r="D31" s="22"/>
      <c r="E31" s="3"/>
      <c r="F31" s="3"/>
      <c r="G31" s="3"/>
    </row>
    <row r="32" spans="1:7" s="34" customFormat="1" ht="31.5" x14ac:dyDescent="0.25">
      <c r="A32" s="223" t="s">
        <v>252</v>
      </c>
      <c r="B32" s="208">
        <f>SUM(B33:B41)</f>
        <v>178464.43000000002</v>
      </c>
      <c r="C32" s="21"/>
      <c r="D32" s="22"/>
      <c r="E32" s="33">
        <f>(B86-B24-B26)/1.2/1.03</f>
        <v>273712.89688466128</v>
      </c>
      <c r="F32" s="33" t="e">
        <f>(#REF!-#REF!-#REF!)/1.2/1.03</f>
        <v>#REF!</v>
      </c>
      <c r="G32" s="33" t="e">
        <f>(#REF!-#REF!-#REF!)/1.2/1.03</f>
        <v>#REF!</v>
      </c>
    </row>
    <row r="33" spans="1:7" ht="15.75" x14ac:dyDescent="0.25">
      <c r="A33" s="224" t="s">
        <v>253</v>
      </c>
      <c r="B33" s="23">
        <f>45000*1.12</f>
        <v>50400.000000000007</v>
      </c>
      <c r="C33" s="21"/>
      <c r="D33" s="22">
        <v>51343.45</v>
      </c>
      <c r="E33" s="3"/>
      <c r="F33" s="3"/>
      <c r="G33" s="3"/>
    </row>
    <row r="34" spans="1:7" ht="15.75" x14ac:dyDescent="0.25">
      <c r="A34" s="257" t="s">
        <v>443</v>
      </c>
      <c r="B34" s="23">
        <f>20278.93+47988.67+59796.83</f>
        <v>128064.43000000001</v>
      </c>
      <c r="C34" s="21"/>
      <c r="D34" s="22">
        <v>0</v>
      </c>
      <c r="E34" s="3"/>
      <c r="F34" s="3"/>
      <c r="G34" s="3"/>
    </row>
    <row r="35" spans="1:7" ht="16.5" hidden="1" x14ac:dyDescent="0.25">
      <c r="A35" s="249" t="s">
        <v>443</v>
      </c>
      <c r="B35" s="248">
        <v>0</v>
      </c>
      <c r="C35" s="21"/>
      <c r="D35" s="22">
        <v>0</v>
      </c>
      <c r="E35" s="3"/>
      <c r="F35" s="3"/>
      <c r="G35" s="3"/>
    </row>
    <row r="36" spans="1:7" ht="16.5" hidden="1" x14ac:dyDescent="0.25">
      <c r="A36" s="249" t="s">
        <v>443</v>
      </c>
      <c r="B36" s="248">
        <v>0</v>
      </c>
      <c r="C36" s="21" t="s">
        <v>234</v>
      </c>
      <c r="D36" s="22">
        <v>0</v>
      </c>
      <c r="E36" s="3"/>
      <c r="F36" s="3"/>
      <c r="G36" s="3"/>
    </row>
    <row r="37" spans="1:7" ht="15.75" hidden="1" x14ac:dyDescent="0.25">
      <c r="A37" s="225" t="s">
        <v>400</v>
      </c>
      <c r="B37" s="20"/>
      <c r="C37" s="21"/>
      <c r="D37" s="22">
        <v>0</v>
      </c>
      <c r="E37" s="3"/>
      <c r="F37" s="3"/>
      <c r="G37" s="3"/>
    </row>
    <row r="38" spans="1:7" ht="15.75" hidden="1" x14ac:dyDescent="0.25">
      <c r="A38" s="224" t="s">
        <v>258</v>
      </c>
      <c r="B38" s="23">
        <v>0</v>
      </c>
      <c r="C38" s="21"/>
      <c r="D38" s="22">
        <v>0</v>
      </c>
      <c r="E38" s="3"/>
      <c r="F38" s="3"/>
      <c r="G38" s="3"/>
    </row>
    <row r="39" spans="1:7" ht="15.75" hidden="1" x14ac:dyDescent="0.25">
      <c r="A39" s="35" t="s">
        <v>259</v>
      </c>
      <c r="B39" s="23">
        <v>0</v>
      </c>
      <c r="C39" s="21"/>
      <c r="D39" s="22">
        <v>0</v>
      </c>
      <c r="E39" s="3"/>
      <c r="F39" s="3"/>
      <c r="G39" s="3"/>
    </row>
    <row r="40" spans="1:7" ht="15.75" hidden="1" x14ac:dyDescent="0.25">
      <c r="A40" s="35" t="s">
        <v>312</v>
      </c>
      <c r="B40" s="23">
        <v>0</v>
      </c>
      <c r="C40" s="21"/>
      <c r="D40" s="22"/>
      <c r="E40" s="3"/>
      <c r="F40" s="3"/>
      <c r="G40" s="3"/>
    </row>
    <row r="41" spans="1:7" ht="15.75" hidden="1" x14ac:dyDescent="0.25">
      <c r="A41" s="35" t="s">
        <v>313</v>
      </c>
      <c r="B41" s="23">
        <v>0</v>
      </c>
      <c r="C41" s="21"/>
      <c r="D41" s="22"/>
      <c r="E41" s="3"/>
      <c r="F41" s="3"/>
      <c r="G41" s="3"/>
    </row>
    <row r="42" spans="1:7" s="34" customFormat="1" ht="47.25" x14ac:dyDescent="0.25">
      <c r="A42" s="223" t="s">
        <v>401</v>
      </c>
      <c r="B42" s="208">
        <f>SUM(B43:B45)</f>
        <v>112841.7608988615</v>
      </c>
      <c r="C42" s="21"/>
      <c r="D42" s="22"/>
      <c r="E42" s="33"/>
      <c r="F42" s="33"/>
      <c r="G42" s="33"/>
    </row>
    <row r="43" spans="1:7" ht="15.75" x14ac:dyDescent="0.25">
      <c r="A43" s="35" t="s">
        <v>262</v>
      </c>
      <c r="B43" s="23">
        <f>1.04*33244.86*1.12</f>
        <v>38723.612928000002</v>
      </c>
      <c r="C43" s="39"/>
      <c r="D43" s="40"/>
      <c r="E43" s="3"/>
      <c r="F43" s="3"/>
      <c r="G43" s="3"/>
    </row>
    <row r="44" spans="1:7" ht="15.75" x14ac:dyDescent="0.25">
      <c r="A44" s="35" t="s">
        <v>263</v>
      </c>
      <c r="B44" s="23">
        <f>1.04*41110.55*1.12</f>
        <v>47885.568640000005</v>
      </c>
      <c r="C44" s="39"/>
      <c r="D44" s="40"/>
      <c r="E44" s="3"/>
      <c r="F44" s="3"/>
      <c r="G44" s="3"/>
    </row>
    <row r="45" spans="1:7" ht="15.75" x14ac:dyDescent="0.25">
      <c r="A45" s="226" t="s">
        <v>264</v>
      </c>
      <c r="B45" s="23">
        <f>1.04*22521.1017606984*1.12</f>
        <v>26232.579330861499</v>
      </c>
      <c r="C45" s="39"/>
      <c r="D45" s="40"/>
      <c r="E45" s="3"/>
      <c r="F45" s="3"/>
      <c r="G45" s="3"/>
    </row>
    <row r="46" spans="1:7" s="8" customFormat="1" ht="15.75" x14ac:dyDescent="0.25">
      <c r="A46" s="223" t="s">
        <v>265</v>
      </c>
      <c r="B46" s="208">
        <f>SUM(B47:B65)</f>
        <v>44928.12</v>
      </c>
      <c r="C46" s="21"/>
      <c r="D46" s="22"/>
    </row>
    <row r="47" spans="1:7" ht="15.75" x14ac:dyDescent="0.25">
      <c r="A47" s="224" t="s">
        <v>326</v>
      </c>
      <c r="B47" s="23">
        <v>3704.88</v>
      </c>
      <c r="C47" s="21"/>
      <c r="D47" s="22"/>
      <c r="E47" s="3" t="s">
        <v>267</v>
      </c>
      <c r="F47" s="3"/>
      <c r="G47" s="3"/>
    </row>
    <row r="48" spans="1:7" ht="15.75" x14ac:dyDescent="0.25">
      <c r="A48" s="224" t="s">
        <v>317</v>
      </c>
      <c r="B48" s="23">
        <v>4498.74</v>
      </c>
      <c r="C48" s="21"/>
      <c r="D48" s="22"/>
      <c r="E48" s="3" t="s">
        <v>269</v>
      </c>
      <c r="F48" s="3"/>
      <c r="G48" s="3"/>
    </row>
    <row r="49" spans="1:5" ht="15.75" hidden="1" x14ac:dyDescent="0.25">
      <c r="A49" s="143" t="s">
        <v>270</v>
      </c>
      <c r="B49" s="23">
        <v>0</v>
      </c>
      <c r="C49" s="21"/>
      <c r="D49" s="22"/>
      <c r="E49" s="3"/>
    </row>
    <row r="50" spans="1:5" ht="15.75" hidden="1" x14ac:dyDescent="0.25">
      <c r="A50" s="143" t="s">
        <v>271</v>
      </c>
      <c r="B50" s="105">
        <v>0</v>
      </c>
      <c r="C50" s="21"/>
      <c r="D50" s="22"/>
      <c r="E50" s="3"/>
    </row>
    <row r="51" spans="1:5" ht="15.75" hidden="1" x14ac:dyDescent="0.25">
      <c r="A51" s="143" t="s">
        <v>272</v>
      </c>
      <c r="B51" s="23">
        <v>0</v>
      </c>
      <c r="C51" s="21"/>
      <c r="D51" s="22"/>
      <c r="E51" s="3"/>
    </row>
    <row r="52" spans="1:5" ht="15.75" hidden="1" x14ac:dyDescent="0.25">
      <c r="A52" s="143" t="s">
        <v>273</v>
      </c>
      <c r="B52" s="23">
        <f>B21*'[6]32тарифы'!D177</f>
        <v>0</v>
      </c>
      <c r="C52" s="21"/>
      <c r="D52" s="22">
        <v>105.14</v>
      </c>
      <c r="E52" s="3"/>
    </row>
    <row r="53" spans="1:5" ht="15.75" hidden="1" x14ac:dyDescent="0.25">
      <c r="A53" s="143" t="s">
        <v>316</v>
      </c>
      <c r="B53" s="20"/>
      <c r="C53" s="21">
        <v>0</v>
      </c>
      <c r="D53" s="22">
        <v>522.99</v>
      </c>
      <c r="E53" s="3"/>
    </row>
    <row r="54" spans="1:5" ht="15.75" x14ac:dyDescent="0.25">
      <c r="A54" s="188" t="s">
        <v>359</v>
      </c>
      <c r="B54" s="20">
        <v>8133.61</v>
      </c>
      <c r="C54" s="21">
        <v>1</v>
      </c>
      <c r="D54" s="44">
        <v>657.53</v>
      </c>
      <c r="E54" s="3"/>
    </row>
    <row r="55" spans="1:5" ht="15.75" hidden="1" x14ac:dyDescent="0.25">
      <c r="A55" s="143" t="s">
        <v>276</v>
      </c>
      <c r="B55" s="23">
        <v>0</v>
      </c>
      <c r="C55" s="21"/>
      <c r="D55" s="44"/>
      <c r="E55" s="3"/>
    </row>
    <row r="56" spans="1:5" ht="15.75" hidden="1" x14ac:dyDescent="0.25">
      <c r="A56" s="143" t="s">
        <v>277</v>
      </c>
      <c r="B56" s="23">
        <v>0</v>
      </c>
      <c r="C56" s="21">
        <v>0</v>
      </c>
      <c r="D56" s="22">
        <f>10695.76/1.18</f>
        <v>9064.203389830509</v>
      </c>
      <c r="E56" s="3"/>
    </row>
    <row r="57" spans="1:5" ht="15.75" hidden="1" x14ac:dyDescent="0.25">
      <c r="A57" s="143" t="s">
        <v>346</v>
      </c>
      <c r="B57" s="23"/>
      <c r="C57" s="21">
        <v>0</v>
      </c>
      <c r="D57" s="22">
        <f>2300/1.18</f>
        <v>1949.1525423728815</v>
      </c>
      <c r="E57" s="3"/>
    </row>
    <row r="58" spans="1:5" ht="15.75" hidden="1" x14ac:dyDescent="0.25">
      <c r="A58" s="143" t="s">
        <v>380</v>
      </c>
      <c r="B58" s="20"/>
      <c r="C58" s="21">
        <v>0</v>
      </c>
      <c r="D58" s="22">
        <v>0</v>
      </c>
      <c r="E58" s="3"/>
    </row>
    <row r="59" spans="1:5" ht="15.75" hidden="1" x14ac:dyDescent="0.25">
      <c r="A59" s="228" t="s">
        <v>279</v>
      </c>
      <c r="B59" s="20">
        <f>B13*'[6]32тарифы'!D184</f>
        <v>0</v>
      </c>
      <c r="C59" s="21"/>
      <c r="D59" s="22"/>
      <c r="E59" s="227">
        <f>B80+B46-B59+792.62</f>
        <v>63714.30000000001</v>
      </c>
    </row>
    <row r="60" spans="1:5" ht="15.75" hidden="1" x14ac:dyDescent="0.25">
      <c r="A60" s="35" t="s">
        <v>402</v>
      </c>
      <c r="B60" s="20"/>
      <c r="C60" s="21"/>
      <c r="D60" s="22"/>
      <c r="E60" s="3"/>
    </row>
    <row r="61" spans="1:5" ht="15.75" hidden="1" x14ac:dyDescent="0.25">
      <c r="A61" s="35" t="s">
        <v>423</v>
      </c>
      <c r="B61" s="20"/>
      <c r="C61" s="21"/>
      <c r="D61" s="22">
        <v>0</v>
      </c>
      <c r="E61" s="3"/>
    </row>
    <row r="62" spans="1:5" ht="15.75" hidden="1" x14ac:dyDescent="0.25">
      <c r="A62" s="224" t="s">
        <v>453</v>
      </c>
      <c r="B62" s="20"/>
      <c r="C62" s="21"/>
      <c r="D62" s="22">
        <v>0</v>
      </c>
      <c r="E62" s="3"/>
    </row>
    <row r="63" spans="1:5" ht="15.75" x14ac:dyDescent="0.25">
      <c r="A63" s="224" t="s">
        <v>327</v>
      </c>
      <c r="B63" s="229">
        <v>24258.82</v>
      </c>
      <c r="C63" s="46">
        <v>1</v>
      </c>
      <c r="D63" s="22">
        <v>0</v>
      </c>
      <c r="E63" s="3"/>
    </row>
    <row r="64" spans="1:5" ht="15.75" customHeight="1" x14ac:dyDescent="0.25">
      <c r="A64" s="35" t="s">
        <v>542</v>
      </c>
      <c r="B64" s="229">
        <v>4200</v>
      </c>
      <c r="C64" s="46">
        <v>80</v>
      </c>
      <c r="D64" s="22">
        <v>2</v>
      </c>
      <c r="E64" s="3">
        <v>1</v>
      </c>
    </row>
    <row r="65" spans="1:4" ht="15.75" x14ac:dyDescent="0.25">
      <c r="A65" s="35" t="s">
        <v>402</v>
      </c>
      <c r="B65" s="112">
        <v>132.07</v>
      </c>
      <c r="C65" s="48">
        <v>80</v>
      </c>
      <c r="D65" s="40">
        <v>560</v>
      </c>
    </row>
    <row r="66" spans="1:4" s="8" customFormat="1" ht="15.75" x14ac:dyDescent="0.25">
      <c r="A66" s="230" t="s">
        <v>286</v>
      </c>
      <c r="B66" s="208">
        <f>SUM(B67:B74)</f>
        <v>246937.75229344898</v>
      </c>
      <c r="C66" s="39"/>
      <c r="D66" s="40"/>
    </row>
    <row r="67" spans="1:4" ht="15.75" hidden="1" x14ac:dyDescent="0.25">
      <c r="A67" s="35" t="s">
        <v>287</v>
      </c>
      <c r="B67" s="23">
        <v>0</v>
      </c>
      <c r="C67" s="39"/>
      <c r="D67" s="40"/>
    </row>
    <row r="68" spans="1:4" ht="15.75" x14ac:dyDescent="0.25">
      <c r="A68" s="224" t="s">
        <v>288</v>
      </c>
      <c r="B68" s="232">
        <f>95273*1.04*1.12</f>
        <v>110973.99040000001</v>
      </c>
      <c r="C68" s="39"/>
      <c r="D68" s="40"/>
    </row>
    <row r="69" spans="1:4" ht="15.75" hidden="1" x14ac:dyDescent="0.25">
      <c r="A69" s="35" t="s">
        <v>289</v>
      </c>
      <c r="B69" s="23">
        <v>0</v>
      </c>
      <c r="C69" s="39"/>
      <c r="D69" s="40"/>
    </row>
    <row r="70" spans="1:4" ht="15.75" x14ac:dyDescent="0.25">
      <c r="A70" s="226" t="s">
        <v>290</v>
      </c>
      <c r="B70" s="23">
        <f>'[6]32тарифы'!D164*B13*1.12</f>
        <v>4350.4608377812774</v>
      </c>
      <c r="C70" s="39"/>
      <c r="D70" s="40"/>
    </row>
    <row r="71" spans="1:4" ht="15.75" x14ac:dyDescent="0.25">
      <c r="A71" s="226" t="s">
        <v>291</v>
      </c>
      <c r="B71" s="23">
        <f>'[6]32тарифы'!D165*B15*1.12</f>
        <v>22531.762003522421</v>
      </c>
      <c r="C71" s="39"/>
      <c r="D71" s="40"/>
    </row>
    <row r="72" spans="1:4" ht="15.75" x14ac:dyDescent="0.25">
      <c r="A72" s="226" t="s">
        <v>292</v>
      </c>
      <c r="B72" s="23">
        <f>1.04*35984.9520860854*1.12</f>
        <v>41915.272189872281</v>
      </c>
      <c r="C72" s="39"/>
      <c r="D72" s="40"/>
    </row>
    <row r="73" spans="1:4" ht="15.75" x14ac:dyDescent="0.25">
      <c r="A73" s="226" t="s">
        <v>293</v>
      </c>
      <c r="B73" s="23">
        <f>1.04*6106.01300106802*1.12</f>
        <v>7112.2839436440299</v>
      </c>
      <c r="C73" s="39"/>
      <c r="D73" s="40"/>
    </row>
    <row r="74" spans="1:4" ht="15.75" x14ac:dyDescent="0.25">
      <c r="A74" s="226" t="s">
        <v>294</v>
      </c>
      <c r="B74" s="23">
        <f>1.04*51557.3342364603*1.12</f>
        <v>60053.982918628964</v>
      </c>
      <c r="C74" s="39"/>
      <c r="D74" s="40"/>
    </row>
    <row r="75" spans="1:4" ht="63" x14ac:dyDescent="0.25">
      <c r="A75" s="233" t="s">
        <v>295</v>
      </c>
      <c r="B75" s="208">
        <f>SUM(B76:B76)</f>
        <v>119840.00000000001</v>
      </c>
      <c r="C75" s="39"/>
      <c r="D75" s="40"/>
    </row>
    <row r="76" spans="1:4" ht="15.75" x14ac:dyDescent="0.25">
      <c r="A76" s="226" t="s">
        <v>296</v>
      </c>
      <c r="B76" s="23">
        <f>107000*1.12</f>
        <v>119840.00000000001</v>
      </c>
      <c r="C76" s="39"/>
      <c r="D76" s="40"/>
    </row>
    <row r="77" spans="1:4" s="8" customFormat="1" ht="15.75" x14ac:dyDescent="0.25">
      <c r="A77" s="230" t="s">
        <v>297</v>
      </c>
      <c r="B77" s="208">
        <f>SUM(B78:B81)</f>
        <v>110769.50683150944</v>
      </c>
      <c r="C77" s="39"/>
      <c r="D77" s="40"/>
    </row>
    <row r="78" spans="1:4" ht="15.75" x14ac:dyDescent="0.25">
      <c r="A78" s="234" t="s">
        <v>298</v>
      </c>
      <c r="B78" s="23">
        <f>'[6]32тарифы'!D170*B15*1.12</f>
        <v>85031.028852668765</v>
      </c>
      <c r="C78" s="39"/>
      <c r="D78" s="40"/>
    </row>
    <row r="79" spans="1:4" ht="15.75" hidden="1" x14ac:dyDescent="0.25">
      <c r="A79" s="234" t="s">
        <v>299</v>
      </c>
      <c r="B79" s="232">
        <f>(B26/1.2)*30%</f>
        <v>0</v>
      </c>
      <c r="C79" s="39"/>
      <c r="D79" s="40"/>
    </row>
    <row r="80" spans="1:4" ht="15.75" x14ac:dyDescent="0.25">
      <c r="A80" s="235" t="s">
        <v>300</v>
      </c>
      <c r="B80" s="23">
        <f>10817.36+7176.2</f>
        <v>17993.560000000001</v>
      </c>
      <c r="C80" s="39"/>
      <c r="D80" s="40"/>
    </row>
    <row r="81" spans="1:4" ht="15.75" x14ac:dyDescent="0.25">
      <c r="A81" s="235" t="s">
        <v>301</v>
      </c>
      <c r="B81" s="23">
        <f>'[6]32тарифы'!D173*B13*1.12</f>
        <v>7744.9179788406809</v>
      </c>
      <c r="C81" s="39"/>
      <c r="D81" s="40"/>
    </row>
    <row r="82" spans="1:4" ht="15.75" x14ac:dyDescent="0.25">
      <c r="A82" s="236" t="s">
        <v>302</v>
      </c>
      <c r="B82" s="28">
        <f>B32+B42+B46+B66+B75+B77</f>
        <v>813781.57002381992</v>
      </c>
      <c r="C82" s="39"/>
      <c r="D82" s="40"/>
    </row>
    <row r="83" spans="1:4" ht="15.75" x14ac:dyDescent="0.25">
      <c r="A83" s="237" t="s">
        <v>303</v>
      </c>
      <c r="B83" s="23">
        <f>B82*0.03</f>
        <v>24413.447100714598</v>
      </c>
      <c r="C83" s="39"/>
      <c r="D83" s="40"/>
    </row>
    <row r="84" spans="1:4" s="34" customFormat="1" ht="15.75" x14ac:dyDescent="0.25">
      <c r="A84" s="238" t="s">
        <v>304</v>
      </c>
      <c r="B84" s="208">
        <f>B82+B83</f>
        <v>838195.01712453447</v>
      </c>
      <c r="C84" s="39"/>
      <c r="D84" s="40"/>
    </row>
    <row r="85" spans="1:4" ht="16.5" thickBot="1" x14ac:dyDescent="0.3">
      <c r="A85" s="239" t="s">
        <v>305</v>
      </c>
      <c r="B85" s="240">
        <f>B84*0.2</f>
        <v>167639.0034249069</v>
      </c>
      <c r="C85" s="39"/>
      <c r="D85" s="40"/>
    </row>
    <row r="86" spans="1:4" s="8" customFormat="1" ht="16.5" thickBot="1" x14ac:dyDescent="0.3">
      <c r="A86" s="58" t="s">
        <v>306</v>
      </c>
      <c r="B86" s="66">
        <f>B84+B85</f>
        <v>1005834.0205494413</v>
      </c>
      <c r="C86" s="60"/>
      <c r="D86" s="61"/>
    </row>
    <row r="87" spans="1:4" s="8" customFormat="1" ht="16.5" thickBot="1" x14ac:dyDescent="0.3">
      <c r="A87" s="62" t="s">
        <v>307</v>
      </c>
      <c r="B87" s="296">
        <f>B10+B24+B26+B28+B29-B86</f>
        <v>-1754759.1205494413</v>
      </c>
      <c r="C87" s="63"/>
      <c r="D87" s="63"/>
    </row>
    <row r="88" spans="1:4" s="8" customFormat="1" ht="16.5" thickBot="1" x14ac:dyDescent="0.3">
      <c r="A88" s="64" t="s">
        <v>308</v>
      </c>
      <c r="B88" s="66">
        <f>B10+B25+B27+B28+B29-B86</f>
        <v>-1698066.7505494412</v>
      </c>
      <c r="C88" s="63"/>
      <c r="D88" s="63"/>
    </row>
    <row r="89" spans="1:4" s="8" customFormat="1" ht="16.5" hidden="1" thickBot="1" x14ac:dyDescent="0.3">
      <c r="A89" s="241" t="s">
        <v>309</v>
      </c>
      <c r="B89" s="66">
        <f>B11+B24-B25</f>
        <v>-56692.369999999995</v>
      </c>
      <c r="C89" s="63"/>
      <c r="D89" s="63"/>
    </row>
    <row r="90" spans="1:4" ht="15.75" x14ac:dyDescent="0.25">
      <c r="A90" s="3"/>
      <c r="B90" s="227"/>
      <c r="C90" s="3"/>
      <c r="D90" s="3"/>
    </row>
    <row r="91" spans="1:4" ht="10.5" customHeight="1" x14ac:dyDescent="0.25">
      <c r="A91" s="69"/>
      <c r="B91" s="3"/>
      <c r="C91" s="3"/>
      <c r="D91" s="3"/>
    </row>
    <row r="92" spans="1:4" ht="15.75" x14ac:dyDescent="0.25">
      <c r="A92" s="333" t="s">
        <v>407</v>
      </c>
      <c r="B92" s="333"/>
      <c r="C92" s="3"/>
      <c r="D92" s="3"/>
    </row>
    <row r="93" spans="1:4" ht="15.75" x14ac:dyDescent="0.25">
      <c r="A93" s="69"/>
      <c r="B93" s="3"/>
      <c r="C93" s="3"/>
      <c r="D93" s="3"/>
    </row>
    <row r="94" spans="1:4" ht="15.75" hidden="1" x14ac:dyDescent="0.25">
      <c r="A94" s="342" t="s">
        <v>408</v>
      </c>
      <c r="B94" s="342"/>
      <c r="C94" s="72"/>
      <c r="D94" s="3"/>
    </row>
    <row r="95" spans="1:4" ht="15.75" x14ac:dyDescent="0.25">
      <c r="A95" s="3"/>
      <c r="B95" s="3"/>
      <c r="C95" s="3"/>
      <c r="D95" s="3"/>
    </row>
  </sheetData>
  <autoFilter ref="A31:G89" xr:uid="{00000000-0009-0000-0000-00001F000000}">
    <filterColumn colId="1">
      <filters>
        <filter val="1 061,64"/>
        <filter val="1 843,35"/>
        <filter val="11 561,57"/>
        <filter val="111 873,74"/>
        <filter val="15 119,16"/>
        <filter val="16 292,29"/>
        <filter val="2 205,05"/>
        <filter val="202 863,90"/>
        <filter val="21 247,67"/>
        <filter val="3 941,34"/>
        <filter val="33 900,31"/>
        <filter val="34 338,19"/>
        <filter val="35 089,51"/>
        <filter val="36 451,34"/>
        <filter val="4 749,61"/>
        <filter val="4 961,73"/>
        <filter val="42 679,20"/>
        <filter val="45 934,87"/>
        <filter val="48 772,99"/>
        <filter val="5 965,39"/>
        <filter val="-514 580,71"/>
        <filter val="543 076,40"/>
        <filter val="559 368,69"/>
        <filter val="-594 467,78"/>
        <filter val="62 746,36"/>
        <filter val="64 023,93"/>
        <filter val="671 242,43"/>
        <filter val="7 890,24"/>
        <filter val="-79 887,07"/>
        <filter val="8 438,07"/>
        <filter val="83 178,94"/>
        <filter val="9 039,16"/>
        <filter val="9 223,76"/>
        <filter val="926,20"/>
        <filter val="95 273,40"/>
        <filter val="96 362,96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82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filterMode="1">
    <pageSetUpPr fitToPage="1"/>
  </sheetPr>
  <dimension ref="A1:G94"/>
  <sheetViews>
    <sheetView view="pageBreakPreview" topLeftCell="A40" zoomScale="75" zoomScaleNormal="100" zoomScaleSheetLayoutView="75" workbookViewId="0">
      <selection activeCell="B78" sqref="B78"/>
    </sheetView>
  </sheetViews>
  <sheetFormatPr defaultRowHeight="15.75" x14ac:dyDescent="0.25"/>
  <cols>
    <col min="1" max="1" width="96.42578125" style="3" customWidth="1"/>
    <col min="2" max="2" width="15" style="3" customWidth="1"/>
    <col min="3" max="4" width="13.85546875" style="3" customWidth="1"/>
    <col min="5" max="5" width="14.140625" style="3" customWidth="1"/>
    <col min="6" max="6" width="11.140625" style="3" customWidth="1"/>
    <col min="7" max="7" width="12.42578125" style="3" bestFit="1" customWidth="1"/>
    <col min="8" max="16384" width="9.140625" style="3"/>
  </cols>
  <sheetData>
    <row r="1" spans="1:4" ht="16.5" customHeight="1" x14ac:dyDescent="0.25">
      <c r="A1" s="313" t="s">
        <v>224</v>
      </c>
      <c r="B1" s="313"/>
    </row>
    <row r="2" spans="1:4" ht="16.5" x14ac:dyDescent="0.25">
      <c r="A2" s="315" t="s">
        <v>225</v>
      </c>
      <c r="B2" s="315"/>
    </row>
    <row r="3" spans="1:4" ht="16.5" x14ac:dyDescent="0.25">
      <c r="A3" s="315" t="s">
        <v>226</v>
      </c>
      <c r="B3" s="315"/>
    </row>
    <row r="4" spans="1:4" x14ac:dyDescent="0.25">
      <c r="A4" s="4" t="s">
        <v>516</v>
      </c>
      <c r="B4" s="4"/>
    </row>
    <row r="5" spans="1:4" x14ac:dyDescent="0.25">
      <c r="A5" s="4" t="s">
        <v>84</v>
      </c>
      <c r="B5" s="4"/>
    </row>
    <row r="6" spans="1:4" ht="5.25" customHeight="1" x14ac:dyDescent="0.25">
      <c r="A6" s="4"/>
      <c r="B6" s="8"/>
      <c r="C6" s="8"/>
    </row>
    <row r="7" spans="1:4" ht="16.5" thickBot="1" x14ac:dyDescent="0.3">
      <c r="A7" s="9"/>
      <c r="B7" s="8"/>
      <c r="C7" s="8"/>
    </row>
    <row r="8" spans="1:4" ht="15.75" customHeight="1" x14ac:dyDescent="0.25">
      <c r="A8" s="335" t="s">
        <v>227</v>
      </c>
      <c r="B8" s="337" t="s">
        <v>228</v>
      </c>
      <c r="C8" s="307" t="s">
        <v>229</v>
      </c>
      <c r="D8" s="307" t="s">
        <v>230</v>
      </c>
    </row>
    <row r="9" spans="1:4" ht="28.5" customHeight="1" thickBot="1" x14ac:dyDescent="0.3">
      <c r="A9" s="336"/>
      <c r="B9" s="338"/>
      <c r="C9" s="308"/>
      <c r="D9" s="308"/>
    </row>
    <row r="10" spans="1:4" s="212" customFormat="1" ht="16.5" thickBot="1" x14ac:dyDescent="0.3">
      <c r="A10" s="209" t="s">
        <v>231</v>
      </c>
      <c r="B10" s="302">
        <f>VLOOKUP(A5,мкд!S:T,2,FALSE)</f>
        <v>-214047.25</v>
      </c>
      <c r="C10" s="211"/>
      <c r="D10" s="211"/>
    </row>
    <row r="11" spans="1:4" s="212" customFormat="1" ht="16.5" hidden="1" thickBot="1" x14ac:dyDescent="0.3">
      <c r="A11" s="213" t="s">
        <v>232</v>
      </c>
      <c r="B11" s="243"/>
      <c r="C11" s="215"/>
      <c r="D11" s="215"/>
    </row>
    <row r="12" spans="1:4" x14ac:dyDescent="0.25">
      <c r="A12" s="216" t="s">
        <v>233</v>
      </c>
      <c r="B12" s="217"/>
      <c r="C12" s="17" t="s">
        <v>234</v>
      </c>
      <c r="D12" s="18" t="s">
        <v>234</v>
      </c>
    </row>
    <row r="13" spans="1:4" hidden="1" x14ac:dyDescent="0.25">
      <c r="A13" s="19" t="s">
        <v>235</v>
      </c>
      <c r="B13" s="20">
        <v>4258.1000000000004</v>
      </c>
      <c r="C13" s="21" t="s">
        <v>234</v>
      </c>
      <c r="D13" s="22" t="s">
        <v>234</v>
      </c>
    </row>
    <row r="14" spans="1:4" hidden="1" x14ac:dyDescent="0.25">
      <c r="A14" s="19" t="s">
        <v>236</v>
      </c>
      <c r="B14" s="20">
        <v>230.1</v>
      </c>
      <c r="C14" s="21"/>
      <c r="D14" s="22"/>
    </row>
    <row r="15" spans="1:4" x14ac:dyDescent="0.25">
      <c r="A15" s="219" t="s">
        <v>237</v>
      </c>
      <c r="B15" s="23">
        <f>B13+B14</f>
        <v>4488.2000000000007</v>
      </c>
      <c r="C15" s="21"/>
      <c r="D15" s="22"/>
    </row>
    <row r="16" spans="1:4" x14ac:dyDescent="0.25">
      <c r="A16" s="219" t="s">
        <v>238</v>
      </c>
      <c r="B16" s="23">
        <f>1506.1+1919/3</f>
        <v>2145.7666666666664</v>
      </c>
      <c r="C16" s="21" t="s">
        <v>234</v>
      </c>
      <c r="D16" s="22" t="s">
        <v>234</v>
      </c>
    </row>
    <row r="17" spans="1:7" hidden="1" x14ac:dyDescent="0.25">
      <c r="A17" s="19" t="s">
        <v>239</v>
      </c>
      <c r="B17" s="20">
        <v>0</v>
      </c>
      <c r="C17" s="21" t="s">
        <v>234</v>
      </c>
      <c r="D17" s="22" t="s">
        <v>234</v>
      </c>
    </row>
    <row r="18" spans="1:7" hidden="1" x14ac:dyDescent="0.25">
      <c r="A18" s="19" t="s">
        <v>240</v>
      </c>
      <c r="B18" s="20">
        <v>0</v>
      </c>
      <c r="C18" s="21" t="s">
        <v>234</v>
      </c>
      <c r="D18" s="22" t="s">
        <v>234</v>
      </c>
    </row>
    <row r="19" spans="1:7" hidden="1" x14ac:dyDescent="0.25">
      <c r="A19" s="19" t="s">
        <v>241</v>
      </c>
      <c r="B19" s="20">
        <v>840</v>
      </c>
      <c r="C19" s="21" t="s">
        <v>234</v>
      </c>
      <c r="D19" s="22" t="s">
        <v>234</v>
      </c>
    </row>
    <row r="20" spans="1:7" hidden="1" x14ac:dyDescent="0.25">
      <c r="A20" s="19" t="s">
        <v>242</v>
      </c>
      <c r="B20" s="20">
        <v>1394</v>
      </c>
      <c r="C20" s="21"/>
      <c r="D20" s="22"/>
    </row>
    <row r="21" spans="1:7" hidden="1" x14ac:dyDescent="0.25">
      <c r="A21" s="19" t="s">
        <v>243</v>
      </c>
      <c r="B21" s="20">
        <v>0</v>
      </c>
      <c r="C21" s="21" t="s">
        <v>234</v>
      </c>
      <c r="D21" s="22" t="s">
        <v>234</v>
      </c>
    </row>
    <row r="22" spans="1:7" hidden="1" x14ac:dyDescent="0.25">
      <c r="A22" s="19" t="s">
        <v>244</v>
      </c>
      <c r="B22" s="20">
        <v>252</v>
      </c>
      <c r="C22" s="21"/>
      <c r="D22" s="22"/>
    </row>
    <row r="23" spans="1:7" x14ac:dyDescent="0.25">
      <c r="A23" s="219"/>
      <c r="B23" s="23"/>
      <c r="C23" s="21"/>
      <c r="D23" s="22"/>
    </row>
    <row r="24" spans="1:7" x14ac:dyDescent="0.25">
      <c r="A24" s="220" t="s">
        <v>319</v>
      </c>
      <c r="B24" s="28">
        <f>VLOOKUP(A5,'[5]Лист  1'!M$1:N$65536,2,FALSE)</f>
        <v>806722.26</v>
      </c>
      <c r="C24" s="21"/>
      <c r="D24" s="22"/>
      <c r="E24" s="26">
        <v>15.48</v>
      </c>
      <c r="F24" s="256">
        <v>17.328312</v>
      </c>
    </row>
    <row r="25" spans="1:7" x14ac:dyDescent="0.25">
      <c r="A25" s="220" t="s">
        <v>320</v>
      </c>
      <c r="B25" s="28">
        <f>VLOOKUP(A5,'[5]Лист  1'!M$1:O$65536,3,FALSE)</f>
        <v>782243.8600000001</v>
      </c>
      <c r="C25" s="21"/>
      <c r="D25" s="22"/>
    </row>
    <row r="26" spans="1:7" x14ac:dyDescent="0.25">
      <c r="A26" s="220" t="s">
        <v>353</v>
      </c>
      <c r="B26" s="28">
        <v>43594.75</v>
      </c>
      <c r="C26" s="21"/>
      <c r="D26" s="22"/>
    </row>
    <row r="27" spans="1:7" x14ac:dyDescent="0.25">
      <c r="A27" s="220" t="s">
        <v>354</v>
      </c>
      <c r="B27" s="28">
        <v>29840.83</v>
      </c>
      <c r="C27" s="21"/>
      <c r="D27" s="22"/>
    </row>
    <row r="28" spans="1:7" x14ac:dyDescent="0.25">
      <c r="A28" s="220" t="s">
        <v>399</v>
      </c>
      <c r="B28" s="28">
        <v>9289.92</v>
      </c>
      <c r="C28" s="21"/>
      <c r="D28" s="22"/>
    </row>
    <row r="29" spans="1:7" x14ac:dyDescent="0.25">
      <c r="A29" s="220" t="s">
        <v>250</v>
      </c>
      <c r="B29" s="23"/>
      <c r="C29" s="21"/>
      <c r="D29" s="22"/>
    </row>
    <row r="30" spans="1:7" x14ac:dyDescent="0.25">
      <c r="A30" s="221"/>
      <c r="B30" s="23"/>
      <c r="C30" s="21"/>
      <c r="D30" s="22"/>
    </row>
    <row r="31" spans="1:7" x14ac:dyDescent="0.25">
      <c r="A31" s="222" t="s">
        <v>251</v>
      </c>
      <c r="B31" s="23"/>
      <c r="C31" s="21"/>
      <c r="D31" s="22"/>
    </row>
    <row r="32" spans="1:7" s="34" customFormat="1" ht="31.5" x14ac:dyDescent="0.25">
      <c r="A32" s="223" t="s">
        <v>252</v>
      </c>
      <c r="B32" s="208">
        <f>SUM(B33:B39)</f>
        <v>313628.34999999998</v>
      </c>
      <c r="C32" s="21"/>
      <c r="D32" s="22"/>
      <c r="E32" s="33">
        <f>(B84-B24-B26)/1.2/1.03</f>
        <v>341474.78586905368</v>
      </c>
      <c r="F32" s="33" t="e">
        <f>(#REF!-#REF!-#REF!)/1.2/1.03</f>
        <v>#REF!</v>
      </c>
      <c r="G32" s="33" t="e">
        <f>(#REF!-#REF!-#REF!)/1.2/1.03</f>
        <v>#REF!</v>
      </c>
    </row>
    <row r="33" spans="1:7" x14ac:dyDescent="0.25">
      <c r="A33" s="224" t="s">
        <v>253</v>
      </c>
      <c r="B33" s="23">
        <v>77332.350000000006</v>
      </c>
      <c r="C33" s="21"/>
      <c r="D33" s="22">
        <v>50788.93</v>
      </c>
    </row>
    <row r="34" spans="1:7" x14ac:dyDescent="0.25">
      <c r="A34" s="224" t="s">
        <v>342</v>
      </c>
      <c r="B34" s="23">
        <v>58337.120000000003</v>
      </c>
      <c r="C34" s="21"/>
      <c r="D34" s="22">
        <v>0</v>
      </c>
    </row>
    <row r="35" spans="1:7" x14ac:dyDescent="0.25">
      <c r="A35" s="224" t="s">
        <v>343</v>
      </c>
      <c r="B35" s="20">
        <v>177958.88</v>
      </c>
      <c r="C35" s="21"/>
      <c r="D35" s="22">
        <v>0</v>
      </c>
    </row>
    <row r="36" spans="1:7" hidden="1" x14ac:dyDescent="0.25">
      <c r="A36" s="224" t="s">
        <v>258</v>
      </c>
      <c r="B36" s="23">
        <v>0</v>
      </c>
      <c r="C36" s="21"/>
      <c r="D36" s="22">
        <v>0</v>
      </c>
    </row>
    <row r="37" spans="1:7" hidden="1" x14ac:dyDescent="0.25">
      <c r="A37" s="224" t="s">
        <v>259</v>
      </c>
      <c r="B37" s="23">
        <v>0</v>
      </c>
      <c r="C37" s="21"/>
      <c r="D37" s="22">
        <v>0</v>
      </c>
    </row>
    <row r="38" spans="1:7" hidden="1" x14ac:dyDescent="0.25">
      <c r="A38" s="224" t="s">
        <v>343</v>
      </c>
      <c r="B38" s="23"/>
      <c r="C38" s="21"/>
      <c r="D38" s="22"/>
    </row>
    <row r="39" spans="1:7" hidden="1" x14ac:dyDescent="0.25">
      <c r="A39" s="35" t="s">
        <v>400</v>
      </c>
      <c r="B39" s="20"/>
      <c r="C39" s="21"/>
      <c r="D39" s="22"/>
    </row>
    <row r="40" spans="1:7" s="34" customFormat="1" ht="47.25" x14ac:dyDescent="0.25">
      <c r="A40" s="186" t="s">
        <v>401</v>
      </c>
      <c r="B40" s="32">
        <f>SUM(B41:B43)</f>
        <v>144794.82647004706</v>
      </c>
      <c r="C40" s="21"/>
      <c r="D40" s="22"/>
      <c r="E40" s="33"/>
      <c r="F40" s="33"/>
      <c r="G40" s="33"/>
    </row>
    <row r="41" spans="1:7" x14ac:dyDescent="0.25">
      <c r="A41" s="35" t="s">
        <v>262</v>
      </c>
      <c r="B41" s="23">
        <v>79893.150000000009</v>
      </c>
      <c r="C41" s="39"/>
      <c r="D41" s="40"/>
    </row>
    <row r="42" spans="1:7" x14ac:dyDescent="0.25">
      <c r="A42" s="224" t="s">
        <v>263</v>
      </c>
      <c r="B42" s="23">
        <v>32168.84</v>
      </c>
      <c r="C42" s="39"/>
      <c r="D42" s="40"/>
    </row>
    <row r="43" spans="1:7" x14ac:dyDescent="0.25">
      <c r="A43" s="41" t="s">
        <v>264</v>
      </c>
      <c r="B43" s="23">
        <f>1.04*28101.6796617849*1.12</f>
        <v>32732.836470047056</v>
      </c>
      <c r="C43" s="39"/>
      <c r="D43" s="40"/>
    </row>
    <row r="44" spans="1:7" s="8" customFormat="1" x14ac:dyDescent="0.25">
      <c r="A44" s="31" t="s">
        <v>265</v>
      </c>
      <c r="B44" s="208">
        <f>SUM(B45:B63)</f>
        <v>44673.5</v>
      </c>
      <c r="C44" s="21"/>
      <c r="D44" s="22"/>
    </row>
    <row r="45" spans="1:7" hidden="1" x14ac:dyDescent="0.25">
      <c r="A45" s="224" t="s">
        <v>266</v>
      </c>
      <c r="B45" s="23">
        <v>0</v>
      </c>
      <c r="C45" s="21"/>
      <c r="D45" s="22"/>
      <c r="E45" s="3" t="s">
        <v>267</v>
      </c>
    </row>
    <row r="46" spans="1:7" x14ac:dyDescent="0.25">
      <c r="A46" s="224" t="s">
        <v>542</v>
      </c>
      <c r="B46" s="23">
        <v>4200</v>
      </c>
      <c r="C46" s="21"/>
      <c r="D46" s="22"/>
      <c r="E46" s="3" t="s">
        <v>269</v>
      </c>
    </row>
    <row r="47" spans="1:7" x14ac:dyDescent="0.25">
      <c r="A47" s="42" t="s">
        <v>402</v>
      </c>
      <c r="B47" s="23">
        <v>85.06</v>
      </c>
      <c r="C47" s="21"/>
      <c r="D47" s="22"/>
    </row>
    <row r="48" spans="1:7" hidden="1" x14ac:dyDescent="0.25">
      <c r="A48" s="42" t="s">
        <v>348</v>
      </c>
      <c r="B48" s="23"/>
      <c r="C48" s="21"/>
      <c r="D48" s="22"/>
    </row>
    <row r="49" spans="1:5" hidden="1" x14ac:dyDescent="0.25">
      <c r="A49" s="143" t="s">
        <v>350</v>
      </c>
      <c r="B49" s="23"/>
      <c r="C49" s="21"/>
      <c r="D49" s="22"/>
    </row>
    <row r="50" spans="1:5" hidden="1" x14ac:dyDescent="0.25">
      <c r="A50" s="143" t="s">
        <v>273</v>
      </c>
      <c r="B50" s="105">
        <f>B21*'[6]32тарифы'!D177</f>
        <v>0</v>
      </c>
      <c r="C50" s="21"/>
      <c r="D50" s="22">
        <v>105.14</v>
      </c>
    </row>
    <row r="51" spans="1:5" hidden="1" x14ac:dyDescent="0.25">
      <c r="A51" s="143" t="s">
        <v>380</v>
      </c>
      <c r="B51" s="23"/>
      <c r="C51" s="21">
        <v>0</v>
      </c>
      <c r="D51" s="22">
        <v>522.99</v>
      </c>
    </row>
    <row r="52" spans="1:5" x14ac:dyDescent="0.25">
      <c r="A52" s="143" t="s">
        <v>275</v>
      </c>
      <c r="B52" s="23">
        <v>8133.61</v>
      </c>
      <c r="C52" s="21">
        <v>1</v>
      </c>
      <c r="D52" s="44">
        <v>695.13</v>
      </c>
    </row>
    <row r="53" spans="1:5" hidden="1" x14ac:dyDescent="0.25">
      <c r="A53" s="143" t="s">
        <v>276</v>
      </c>
      <c r="B53" s="105">
        <v>0</v>
      </c>
      <c r="C53" s="21"/>
      <c r="D53" s="44"/>
    </row>
    <row r="54" spans="1:5" hidden="1" x14ac:dyDescent="0.25">
      <c r="A54" s="42" t="s">
        <v>277</v>
      </c>
      <c r="B54" s="105">
        <v>0</v>
      </c>
      <c r="C54" s="21">
        <v>0</v>
      </c>
      <c r="D54" s="22">
        <f>10695.76/1.18</f>
        <v>9064.203389830509</v>
      </c>
    </row>
    <row r="55" spans="1:5" hidden="1" x14ac:dyDescent="0.25">
      <c r="A55" s="143" t="s">
        <v>314</v>
      </c>
      <c r="B55" s="23">
        <v>0</v>
      </c>
      <c r="C55" s="21">
        <v>0</v>
      </c>
      <c r="D55" s="22">
        <f>2300/1.18</f>
        <v>1949.1525423728815</v>
      </c>
      <c r="E55" s="227">
        <f>B78+B44-B57+422.58</f>
        <v>65198.850000000006</v>
      </c>
    </row>
    <row r="56" spans="1:5" hidden="1" x14ac:dyDescent="0.25">
      <c r="A56" s="143" t="s">
        <v>315</v>
      </c>
      <c r="B56" s="23">
        <v>0</v>
      </c>
      <c r="C56" s="21">
        <v>0</v>
      </c>
      <c r="D56" s="22">
        <v>0</v>
      </c>
    </row>
    <row r="57" spans="1:5" hidden="1" x14ac:dyDescent="0.25">
      <c r="A57" s="143" t="s">
        <v>279</v>
      </c>
      <c r="B57" s="23">
        <f>B13*'[6]32тарифы'!D184</f>
        <v>0</v>
      </c>
      <c r="C57" s="21"/>
      <c r="D57" s="22"/>
    </row>
    <row r="58" spans="1:5" hidden="1" x14ac:dyDescent="0.25">
      <c r="A58" s="35" t="s">
        <v>280</v>
      </c>
      <c r="B58" s="105">
        <v>0</v>
      </c>
      <c r="C58" s="21"/>
      <c r="D58" s="22"/>
    </row>
    <row r="59" spans="1:5" hidden="1" x14ac:dyDescent="0.25">
      <c r="A59" s="35" t="s">
        <v>281</v>
      </c>
      <c r="B59" s="105">
        <v>0</v>
      </c>
      <c r="C59" s="21"/>
      <c r="D59" s="22">
        <v>0</v>
      </c>
    </row>
    <row r="60" spans="1:5" hidden="1" x14ac:dyDescent="0.25">
      <c r="A60" s="35" t="s">
        <v>340</v>
      </c>
      <c r="B60" s="105">
        <v>0</v>
      </c>
      <c r="C60" s="21"/>
      <c r="D60" s="22">
        <v>0</v>
      </c>
    </row>
    <row r="61" spans="1:5" x14ac:dyDescent="0.25">
      <c r="A61" s="187" t="s">
        <v>405</v>
      </c>
      <c r="B61" s="112">
        <v>32254.83</v>
      </c>
      <c r="C61" s="46">
        <v>1</v>
      </c>
      <c r="D61" s="22">
        <v>0</v>
      </c>
    </row>
    <row r="62" spans="1:5" hidden="1" x14ac:dyDescent="0.25">
      <c r="A62" s="224" t="s">
        <v>284</v>
      </c>
      <c r="B62" s="261">
        <v>0</v>
      </c>
      <c r="C62" s="46">
        <v>95</v>
      </c>
      <c r="D62" s="22">
        <v>2</v>
      </c>
      <c r="E62" s="3">
        <v>1</v>
      </c>
    </row>
    <row r="63" spans="1:5" ht="16.5" hidden="1" x14ac:dyDescent="0.25">
      <c r="A63" s="249" t="s">
        <v>342</v>
      </c>
      <c r="B63" s="229"/>
      <c r="C63" s="48">
        <v>96</v>
      </c>
      <c r="D63" s="40">
        <f>650/1.18</f>
        <v>550.84745762711873</v>
      </c>
    </row>
    <row r="64" spans="1:5" s="8" customFormat="1" x14ac:dyDescent="0.25">
      <c r="A64" s="189" t="s">
        <v>286</v>
      </c>
      <c r="B64" s="32">
        <f>SUM(B65:B72)</f>
        <v>233177.39741597054</v>
      </c>
      <c r="C64" s="39"/>
      <c r="D64" s="40"/>
    </row>
    <row r="65" spans="1:4" hidden="1" x14ac:dyDescent="0.25">
      <c r="A65" s="35" t="s">
        <v>287</v>
      </c>
      <c r="B65" s="23">
        <v>0</v>
      </c>
      <c r="C65" s="39"/>
      <c r="D65" s="40"/>
    </row>
    <row r="66" spans="1:4" x14ac:dyDescent="0.25">
      <c r="A66" s="224" t="s">
        <v>288</v>
      </c>
      <c r="B66" s="23">
        <f>1.04*81493.28*1.12</f>
        <v>94923.372544000013</v>
      </c>
      <c r="C66" s="39"/>
      <c r="D66" s="40"/>
    </row>
    <row r="67" spans="1:4" hidden="1" x14ac:dyDescent="0.25">
      <c r="A67" s="35" t="s">
        <v>289</v>
      </c>
      <c r="B67" s="23">
        <v>0</v>
      </c>
      <c r="C67" s="39"/>
      <c r="D67" s="40"/>
    </row>
    <row r="68" spans="1:4" x14ac:dyDescent="0.25">
      <c r="A68" s="226" t="s">
        <v>290</v>
      </c>
      <c r="B68" s="232">
        <f>'[6]32тарифы'!D164*B13*1.12</f>
        <v>5257.768936325735</v>
      </c>
      <c r="C68" s="39"/>
      <c r="D68" s="40"/>
    </row>
    <row r="69" spans="1:4" x14ac:dyDescent="0.25">
      <c r="A69" s="163" t="s">
        <v>291</v>
      </c>
      <c r="B69" s="20">
        <f>4.62*B15</f>
        <v>20735.484000000004</v>
      </c>
      <c r="C69" s="39"/>
      <c r="D69" s="40"/>
    </row>
    <row r="70" spans="1:4" x14ac:dyDescent="0.25">
      <c r="A70" s="226" t="s">
        <v>292</v>
      </c>
      <c r="B70" s="23">
        <f>16.14*B15</f>
        <v>72439.54800000001</v>
      </c>
      <c r="C70" s="39"/>
      <c r="D70" s="40"/>
    </row>
    <row r="71" spans="1:4" x14ac:dyDescent="0.25">
      <c r="A71" s="226" t="s">
        <v>293</v>
      </c>
      <c r="B71" s="23">
        <f>1.04*7778.22142633142*1.12</f>
        <v>9060.0723173908391</v>
      </c>
      <c r="C71" s="39"/>
      <c r="D71" s="40"/>
    </row>
    <row r="72" spans="1:4" x14ac:dyDescent="0.25">
      <c r="A72" s="226" t="s">
        <v>294</v>
      </c>
      <c r="B72" s="23">
        <f>('[6]32тарифы'!D167*B15)+('[6]32тарифы'!D187*B15)*1.12</f>
        <v>30761.151618253934</v>
      </c>
      <c r="C72" s="39"/>
      <c r="D72" s="40"/>
    </row>
    <row r="73" spans="1:4" ht="63" x14ac:dyDescent="0.25">
      <c r="A73" s="233" t="s">
        <v>295</v>
      </c>
      <c r="B73" s="208">
        <f>SUM(B74:B74)</f>
        <v>144480</v>
      </c>
      <c r="C73" s="39"/>
      <c r="D73" s="40"/>
    </row>
    <row r="74" spans="1:4" x14ac:dyDescent="0.25">
      <c r="A74" s="226" t="s">
        <v>296</v>
      </c>
      <c r="B74" s="23">
        <f>129000*1.12</f>
        <v>144480</v>
      </c>
      <c r="C74" s="39"/>
      <c r="D74" s="40"/>
    </row>
    <row r="75" spans="1:4" s="8" customFormat="1" x14ac:dyDescent="0.25">
      <c r="A75" s="230" t="s">
        <v>297</v>
      </c>
      <c r="B75" s="208">
        <f>SUM(B76:B79)</f>
        <v>148679.45793772867</v>
      </c>
      <c r="C75" s="39"/>
      <c r="D75" s="40"/>
    </row>
    <row r="76" spans="1:4" x14ac:dyDescent="0.25">
      <c r="A76" s="234" t="s">
        <v>298</v>
      </c>
      <c r="B76" s="23">
        <f>'[6]32тарифы'!D170*B15*1.12</f>
        <v>108317.84511581415</v>
      </c>
      <c r="C76" s="39"/>
      <c r="D76" s="40"/>
    </row>
    <row r="77" spans="1:4" ht="23.25" customHeight="1" x14ac:dyDescent="0.25">
      <c r="A77" s="234" t="s">
        <v>299</v>
      </c>
      <c r="B77" s="23">
        <f>B26/1.2*30%</f>
        <v>10898.6875</v>
      </c>
      <c r="C77" s="39"/>
      <c r="D77" s="40"/>
    </row>
    <row r="78" spans="1:4" x14ac:dyDescent="0.25">
      <c r="A78" s="235" t="s">
        <v>300</v>
      </c>
      <c r="B78" s="23">
        <f>12687.06+7415.71</f>
        <v>20102.77</v>
      </c>
      <c r="C78" s="39"/>
      <c r="D78" s="40"/>
    </row>
    <row r="79" spans="1:4" x14ac:dyDescent="0.25">
      <c r="A79" s="235" t="s">
        <v>301</v>
      </c>
      <c r="B79" s="232">
        <f>'[6]32тарифы'!D173*B13*1.12</f>
        <v>9360.1553219145408</v>
      </c>
      <c r="C79" s="39"/>
      <c r="D79" s="40"/>
    </row>
    <row r="80" spans="1:4" x14ac:dyDescent="0.25">
      <c r="A80" s="236" t="s">
        <v>302</v>
      </c>
      <c r="B80" s="28">
        <f>B32+B40+B44+B64+B73+B75</f>
        <v>1029433.5318237462</v>
      </c>
      <c r="C80" s="39"/>
      <c r="D80" s="40"/>
    </row>
    <row r="81" spans="1:4" x14ac:dyDescent="0.25">
      <c r="A81" s="237" t="s">
        <v>303</v>
      </c>
      <c r="B81" s="23">
        <f>B80*0.03</f>
        <v>30883.005954712382</v>
      </c>
      <c r="C81" s="39"/>
      <c r="D81" s="40"/>
    </row>
    <row r="82" spans="1:4" s="34" customFormat="1" x14ac:dyDescent="0.25">
      <c r="A82" s="238" t="s">
        <v>304</v>
      </c>
      <c r="B82" s="208">
        <f>B80+B81</f>
        <v>1060316.5377784586</v>
      </c>
      <c r="C82" s="39"/>
      <c r="D82" s="40"/>
    </row>
    <row r="83" spans="1:4" ht="16.5" thickBot="1" x14ac:dyDescent="0.3">
      <c r="A83" s="239" t="s">
        <v>305</v>
      </c>
      <c r="B83" s="240">
        <f>B82*0.2</f>
        <v>212063.30755569172</v>
      </c>
      <c r="C83" s="39"/>
      <c r="D83" s="40"/>
    </row>
    <row r="84" spans="1:4" s="8" customFormat="1" ht="16.5" thickBot="1" x14ac:dyDescent="0.3">
      <c r="A84" s="62" t="s">
        <v>306</v>
      </c>
      <c r="B84" s="66">
        <f>B82+B83</f>
        <v>1272379.8453341504</v>
      </c>
      <c r="C84" s="60"/>
      <c r="D84" s="61"/>
    </row>
    <row r="85" spans="1:4" s="8" customFormat="1" ht="16.5" thickBot="1" x14ac:dyDescent="0.3">
      <c r="A85" s="62" t="s">
        <v>307</v>
      </c>
      <c r="B85" s="66">
        <f>B10+B24+B26+B28+B29-B84</f>
        <v>-626820.16533415031</v>
      </c>
      <c r="C85" s="63"/>
      <c r="D85" s="63"/>
    </row>
    <row r="86" spans="1:4" s="8" customFormat="1" ht="16.5" thickBot="1" x14ac:dyDescent="0.3">
      <c r="A86" s="64" t="s">
        <v>308</v>
      </c>
      <c r="B86" s="66">
        <f>B10+B25+B27+B28+B29-B84</f>
        <v>-665052.48533415026</v>
      </c>
      <c r="C86" s="63"/>
      <c r="D86" s="63"/>
    </row>
    <row r="87" spans="1:4" s="8" customFormat="1" ht="16.5" hidden="1" thickBot="1" x14ac:dyDescent="0.3">
      <c r="A87" s="241" t="s">
        <v>309</v>
      </c>
      <c r="B87" s="296"/>
      <c r="C87" s="63"/>
      <c r="D87" s="63"/>
    </row>
    <row r="88" spans="1:4" x14ac:dyDescent="0.25">
      <c r="B88" s="227"/>
    </row>
    <row r="89" spans="1:4" ht="10.5" customHeight="1" x14ac:dyDescent="0.25">
      <c r="A89" s="69"/>
    </row>
    <row r="90" spans="1:4" x14ac:dyDescent="0.25">
      <c r="A90" s="333" t="s">
        <v>407</v>
      </c>
      <c r="B90" s="333"/>
    </row>
    <row r="91" spans="1:4" x14ac:dyDescent="0.25">
      <c r="A91" s="69"/>
    </row>
    <row r="92" spans="1:4" hidden="1" x14ac:dyDescent="0.25">
      <c r="A92" s="342" t="s">
        <v>408</v>
      </c>
      <c r="B92" s="342"/>
      <c r="C92" s="72"/>
    </row>
    <row r="93" spans="1:4" x14ac:dyDescent="0.25">
      <c r="A93"/>
      <c r="B93"/>
      <c r="C93"/>
      <c r="D93"/>
    </row>
    <row r="94" spans="1:4" x14ac:dyDescent="0.25">
      <c r="B94" s="70"/>
    </row>
  </sheetData>
  <autoFilter ref="A31:G87" xr:uid="{00000000-0009-0000-0000-000020000000}">
    <filterColumn colId="1">
      <filters>
        <filter val="1 037 915,92"/>
        <filter val="1 069 053,40"/>
        <filter val="1 282 864,08"/>
        <filter val="10 898,69"/>
        <filter val="108 317,85"/>
        <filter val="11 509,89"/>
        <filter val="144 480,00"/>
        <filter val="144 794,83"/>
        <filter val="153 979,77"/>
        <filter val="177 958,88"/>
        <filter val="2 137,43"/>
        <filter val="20 735,48"/>
        <filter val="213 810,68"/>
        <filter val="233 177,40"/>
        <filter val="25 403,08"/>
        <filter val="285,00"/>
        <filter val="30 761,15"/>
        <filter val="31 137,48"/>
        <filter val="313 628,35"/>
        <filter val="32 168,84"/>
        <filter val="32 732,84"/>
        <filter val="33 923,26"/>
        <filter val="47 855,58"/>
        <filter val="-478 759,94"/>
        <filter val="5 257,77"/>
        <filter val="-516 992,26"/>
        <filter val="58 337,12"/>
        <filter val="72 439,55"/>
        <filter val="77 332,35"/>
        <filter val="79 893,15"/>
        <filter val="9 060,07"/>
        <filter val="9 360,16"/>
        <filter val="94 923,37"/>
      </filters>
    </filterColumn>
  </autoFilter>
  <mergeCells count="9">
    <mergeCell ref="D8:D9"/>
    <mergeCell ref="A90:B90"/>
    <mergeCell ref="A92:B92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78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pageSetUpPr fitToPage="1"/>
  </sheetPr>
  <dimension ref="A1:G95"/>
  <sheetViews>
    <sheetView view="pageBreakPreview" topLeftCell="A45" zoomScale="85" zoomScaleNormal="100" zoomScaleSheetLayoutView="85" workbookViewId="0">
      <selection activeCell="B80" sqref="B80"/>
    </sheetView>
  </sheetViews>
  <sheetFormatPr defaultRowHeight="12.75" x14ac:dyDescent="0.2"/>
  <cols>
    <col min="1" max="1" width="96.42578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13" t="s">
        <v>224</v>
      </c>
      <c r="B1" s="313"/>
      <c r="C1" s="3"/>
      <c r="D1" s="3"/>
    </row>
    <row r="2" spans="1:4" ht="16.5" x14ac:dyDescent="0.25">
      <c r="A2" s="315" t="s">
        <v>225</v>
      </c>
      <c r="B2" s="315"/>
      <c r="C2" s="3"/>
      <c r="D2" s="3"/>
    </row>
    <row r="3" spans="1:4" ht="16.5" x14ac:dyDescent="0.25">
      <c r="A3" s="315" t="s">
        <v>226</v>
      </c>
      <c r="B3" s="315"/>
      <c r="C3" s="3"/>
      <c r="D3" s="3"/>
    </row>
    <row r="4" spans="1:4" ht="15.75" x14ac:dyDescent="0.25">
      <c r="A4" s="4" t="s">
        <v>516</v>
      </c>
      <c r="B4" s="4"/>
      <c r="C4" s="3"/>
      <c r="D4" s="3"/>
    </row>
    <row r="5" spans="1:4" ht="15.75" x14ac:dyDescent="0.25">
      <c r="A5" s="4" t="s">
        <v>85</v>
      </c>
      <c r="B5" s="4"/>
      <c r="C5" s="3"/>
      <c r="D5" s="3"/>
    </row>
    <row r="6" spans="1:4" ht="5.25" customHeight="1" x14ac:dyDescent="0.25">
      <c r="A6" s="4"/>
      <c r="B6" s="8"/>
      <c r="C6" s="8"/>
      <c r="D6" s="3"/>
    </row>
    <row r="7" spans="1:4" ht="16.5" thickBot="1" x14ac:dyDescent="0.3">
      <c r="A7" s="9"/>
      <c r="B7" s="8"/>
      <c r="C7" s="8"/>
      <c r="D7" s="3"/>
    </row>
    <row r="8" spans="1:4" ht="15.75" customHeight="1" x14ac:dyDescent="0.2">
      <c r="A8" s="335" t="s">
        <v>227</v>
      </c>
      <c r="B8" s="337" t="s">
        <v>228</v>
      </c>
      <c r="C8" s="307" t="s">
        <v>229</v>
      </c>
      <c r="D8" s="307" t="s">
        <v>230</v>
      </c>
    </row>
    <row r="9" spans="1:4" ht="28.5" customHeight="1" thickBot="1" x14ac:dyDescent="0.25">
      <c r="A9" s="336"/>
      <c r="B9" s="338"/>
      <c r="C9" s="308"/>
      <c r="D9" s="308"/>
    </row>
    <row r="10" spans="1:4" s="212" customFormat="1" ht="16.5" thickBot="1" x14ac:dyDescent="0.3">
      <c r="A10" s="209" t="s">
        <v>231</v>
      </c>
      <c r="B10" s="302">
        <f>VLOOKUP(A5,мкд!S:T,2,FALSE)</f>
        <v>-1632155.7991833785</v>
      </c>
      <c r="C10" s="211"/>
      <c r="D10" s="211"/>
    </row>
    <row r="11" spans="1:4" s="212" customFormat="1" ht="16.5" hidden="1" thickBot="1" x14ac:dyDescent="0.3">
      <c r="A11" s="213" t="s">
        <v>232</v>
      </c>
      <c r="B11" s="214"/>
      <c r="C11" s="215"/>
      <c r="D11" s="215"/>
    </row>
    <row r="12" spans="1:4" ht="15.75" x14ac:dyDescent="0.25">
      <c r="A12" s="216" t="s">
        <v>233</v>
      </c>
      <c r="B12" s="217"/>
      <c r="C12" s="17" t="s">
        <v>234</v>
      </c>
      <c r="D12" s="18" t="s">
        <v>234</v>
      </c>
    </row>
    <row r="13" spans="1:4" ht="15.75" hidden="1" x14ac:dyDescent="0.25">
      <c r="A13" s="182" t="s">
        <v>235</v>
      </c>
      <c r="B13" s="20">
        <v>2587.6999999999998</v>
      </c>
      <c r="C13" s="21" t="s">
        <v>234</v>
      </c>
      <c r="D13" s="22" t="s">
        <v>234</v>
      </c>
    </row>
    <row r="14" spans="1:4" ht="15.75" hidden="1" x14ac:dyDescent="0.25">
      <c r="A14" s="182" t="s">
        <v>236</v>
      </c>
      <c r="B14" s="20">
        <v>688.41</v>
      </c>
      <c r="C14" s="21"/>
      <c r="D14" s="22"/>
    </row>
    <row r="15" spans="1:4" ht="15.75" x14ac:dyDescent="0.25">
      <c r="A15" s="219" t="s">
        <v>237</v>
      </c>
      <c r="B15" s="23">
        <f>B13+B14</f>
        <v>3276.1099999999997</v>
      </c>
      <c r="C15" s="21"/>
      <c r="D15" s="22"/>
    </row>
    <row r="16" spans="1:4" ht="15.75" x14ac:dyDescent="0.25">
      <c r="A16" s="219" t="s">
        <v>238</v>
      </c>
      <c r="B16" s="23">
        <f>1698.8+900/3</f>
        <v>1998.8</v>
      </c>
      <c r="C16" s="21" t="s">
        <v>234</v>
      </c>
      <c r="D16" s="22" t="s">
        <v>234</v>
      </c>
    </row>
    <row r="17" spans="1:7" ht="15.75" hidden="1" x14ac:dyDescent="0.25">
      <c r="A17" s="182" t="s">
        <v>239</v>
      </c>
      <c r="B17" s="20">
        <v>0</v>
      </c>
      <c r="C17" s="21" t="s">
        <v>234</v>
      </c>
      <c r="D17" s="22" t="s">
        <v>234</v>
      </c>
      <c r="E17" s="3"/>
      <c r="F17" s="3"/>
      <c r="G17" s="3"/>
    </row>
    <row r="18" spans="1:7" ht="15.75" hidden="1" x14ac:dyDescent="0.25">
      <c r="A18" s="182" t="s">
        <v>240</v>
      </c>
      <c r="B18" s="20">
        <v>883</v>
      </c>
      <c r="C18" s="21" t="s">
        <v>234</v>
      </c>
      <c r="D18" s="22" t="s">
        <v>234</v>
      </c>
      <c r="E18" s="3"/>
      <c r="F18" s="3"/>
      <c r="G18" s="3"/>
    </row>
    <row r="19" spans="1:7" ht="15.75" hidden="1" x14ac:dyDescent="0.25">
      <c r="A19" s="182" t="s">
        <v>241</v>
      </c>
      <c r="B19" s="20">
        <v>0</v>
      </c>
      <c r="C19" s="21" t="s">
        <v>234</v>
      </c>
      <c r="D19" s="22" t="s">
        <v>234</v>
      </c>
      <c r="E19" s="3"/>
      <c r="F19" s="3"/>
      <c r="G19" s="3"/>
    </row>
    <row r="20" spans="1:7" ht="15.75" hidden="1" x14ac:dyDescent="0.25">
      <c r="A20" s="182" t="s">
        <v>242</v>
      </c>
      <c r="B20" s="20">
        <v>1147.9000000000001</v>
      </c>
      <c r="C20" s="21"/>
      <c r="D20" s="22"/>
      <c r="E20" s="3"/>
      <c r="F20" s="3"/>
      <c r="G20" s="3"/>
    </row>
    <row r="21" spans="1:7" ht="15.75" hidden="1" x14ac:dyDescent="0.25">
      <c r="A21" s="182" t="s">
        <v>243</v>
      </c>
      <c r="B21" s="20">
        <v>0</v>
      </c>
      <c r="C21" s="21" t="s">
        <v>234</v>
      </c>
      <c r="D21" s="22" t="s">
        <v>234</v>
      </c>
      <c r="E21" s="3"/>
      <c r="F21" s="3"/>
      <c r="G21" s="3"/>
    </row>
    <row r="22" spans="1:7" ht="15.75" hidden="1" x14ac:dyDescent="0.25">
      <c r="A22" s="182" t="s">
        <v>244</v>
      </c>
      <c r="B22" s="20">
        <v>135</v>
      </c>
      <c r="C22" s="21"/>
      <c r="D22" s="22"/>
      <c r="E22" s="3"/>
      <c r="F22" s="3"/>
      <c r="G22" s="3"/>
    </row>
    <row r="23" spans="1:7" ht="15.75" x14ac:dyDescent="0.25">
      <c r="A23" s="219"/>
      <c r="B23" s="23"/>
      <c r="C23" s="21"/>
      <c r="D23" s="22"/>
      <c r="E23" s="3"/>
      <c r="F23" s="3"/>
      <c r="G23" s="3"/>
    </row>
    <row r="24" spans="1:7" ht="15.75" x14ac:dyDescent="0.25">
      <c r="A24" s="220" t="s">
        <v>319</v>
      </c>
      <c r="B24" s="28">
        <f>VLOOKUP(A5,'[5]Лист  1'!M$1:N$65536,2,FALSE)</f>
        <v>539293.31999999995</v>
      </c>
      <c r="C24" s="21"/>
      <c r="D24" s="22"/>
      <c r="E24" s="26">
        <v>17.39</v>
      </c>
      <c r="F24" s="3"/>
      <c r="G24" s="3"/>
    </row>
    <row r="25" spans="1:7" ht="15.75" x14ac:dyDescent="0.25">
      <c r="A25" s="220" t="s">
        <v>320</v>
      </c>
      <c r="B25" s="28">
        <f>VLOOKUP(A5,'[5]Лист  1'!M$1:O$65536,3,FALSE)</f>
        <v>539213.04999999993</v>
      </c>
      <c r="C25" s="21"/>
      <c r="D25" s="22"/>
      <c r="E25" s="3"/>
      <c r="F25" s="3"/>
      <c r="G25" s="3"/>
    </row>
    <row r="26" spans="1:7" ht="15.75" x14ac:dyDescent="0.25">
      <c r="A26" s="220" t="s">
        <v>353</v>
      </c>
      <c r="B26" s="28">
        <v>143655.31</v>
      </c>
      <c r="C26" s="21"/>
      <c r="D26" s="22"/>
      <c r="E26" s="3"/>
      <c r="F26" s="3"/>
      <c r="G26" s="3"/>
    </row>
    <row r="27" spans="1:7" ht="15.75" x14ac:dyDescent="0.25">
      <c r="A27" s="220" t="s">
        <v>354</v>
      </c>
      <c r="B27" s="28">
        <v>139251.07999999999</v>
      </c>
      <c r="C27" s="21"/>
      <c r="D27" s="22"/>
      <c r="E27" s="3"/>
      <c r="F27" s="3"/>
      <c r="G27" s="3"/>
    </row>
    <row r="28" spans="1:7" ht="15.75" x14ac:dyDescent="0.25">
      <c r="A28" s="220" t="s">
        <v>399</v>
      </c>
      <c r="B28" s="28">
        <v>7611.96</v>
      </c>
      <c r="C28" s="21"/>
      <c r="D28" s="22"/>
      <c r="E28" s="3"/>
      <c r="F28" s="3"/>
      <c r="G28" s="3"/>
    </row>
    <row r="29" spans="1:7" ht="15.75" hidden="1" x14ac:dyDescent="0.25">
      <c r="A29" s="220" t="s">
        <v>250</v>
      </c>
      <c r="B29" s="23">
        <v>0</v>
      </c>
      <c r="C29" s="21"/>
      <c r="D29" s="22"/>
      <c r="E29" s="3"/>
      <c r="F29" s="3"/>
      <c r="G29" s="3"/>
    </row>
    <row r="30" spans="1:7" ht="15.75" x14ac:dyDescent="0.25">
      <c r="A30" s="221"/>
      <c r="B30" s="23"/>
      <c r="C30" s="21"/>
      <c r="D30" s="22"/>
      <c r="E30" s="3"/>
      <c r="F30" s="3"/>
      <c r="G30" s="3"/>
    </row>
    <row r="31" spans="1:7" ht="15.75" x14ac:dyDescent="0.25">
      <c r="A31" s="222" t="s">
        <v>251</v>
      </c>
      <c r="B31" s="23"/>
      <c r="C31" s="21"/>
      <c r="D31" s="22"/>
      <c r="E31" s="3"/>
      <c r="F31" s="3"/>
      <c r="G31" s="3"/>
    </row>
    <row r="32" spans="1:7" s="34" customFormat="1" ht="31.5" x14ac:dyDescent="0.25">
      <c r="A32" s="223" t="s">
        <v>252</v>
      </c>
      <c r="B32" s="208">
        <f>SUM(B33:B41)</f>
        <v>148307.01999999999</v>
      </c>
      <c r="C32" s="21"/>
      <c r="D32" s="22"/>
      <c r="E32" s="33">
        <f>(B86-B24-B26)/1.2/1.03</f>
        <v>270397.91471147118</v>
      </c>
      <c r="F32" s="33" t="e">
        <f>(#REF!-#REF!-#REF!)/1.2/1.03</f>
        <v>#REF!</v>
      </c>
      <c r="G32" s="33" t="e">
        <f>(#REF!-#REF!-#REF!)/1.2/1.03</f>
        <v>#REF!</v>
      </c>
    </row>
    <row r="33" spans="1:7" ht="15.75" x14ac:dyDescent="0.25">
      <c r="A33" s="224" t="s">
        <v>253</v>
      </c>
      <c r="B33" s="23">
        <f>46000*1.12</f>
        <v>51520.000000000007</v>
      </c>
      <c r="C33" s="21"/>
      <c r="D33" s="22">
        <v>55816.84</v>
      </c>
      <c r="E33" s="3"/>
      <c r="F33" s="3"/>
      <c r="G33" s="3"/>
    </row>
    <row r="34" spans="1:7" ht="15.75" x14ac:dyDescent="0.25">
      <c r="A34" s="257" t="s">
        <v>443</v>
      </c>
      <c r="B34" s="258">
        <f>20956.31+B35+B37</f>
        <v>20956.310000000001</v>
      </c>
      <c r="C34" s="21"/>
      <c r="D34" s="22">
        <v>0</v>
      </c>
      <c r="E34" s="3"/>
      <c r="F34" s="3"/>
      <c r="G34" s="3"/>
    </row>
    <row r="35" spans="1:7" ht="15.75" hidden="1" x14ac:dyDescent="0.25">
      <c r="A35" s="257" t="s">
        <v>443</v>
      </c>
      <c r="B35" s="259">
        <v>0</v>
      </c>
      <c r="C35" s="21"/>
      <c r="D35" s="22">
        <v>0</v>
      </c>
      <c r="E35" s="3"/>
      <c r="F35" s="3"/>
      <c r="G35" s="3"/>
    </row>
    <row r="36" spans="1:7" ht="15.75" x14ac:dyDescent="0.25">
      <c r="A36" s="257" t="s">
        <v>449</v>
      </c>
      <c r="B36" s="260">
        <v>3006.42</v>
      </c>
      <c r="C36" s="21" t="s">
        <v>234</v>
      </c>
      <c r="D36" s="22">
        <v>0</v>
      </c>
      <c r="E36" s="3"/>
      <c r="F36" s="3"/>
      <c r="G36" s="3"/>
    </row>
    <row r="37" spans="1:7" ht="15.75" hidden="1" x14ac:dyDescent="0.25">
      <c r="A37" s="257" t="s">
        <v>443</v>
      </c>
      <c r="B37" s="259">
        <v>0</v>
      </c>
      <c r="C37" s="21"/>
      <c r="D37" s="22">
        <v>0</v>
      </c>
      <c r="E37" s="3"/>
      <c r="F37" s="3"/>
      <c r="G37" s="3"/>
    </row>
    <row r="38" spans="1:7" ht="15.75" x14ac:dyDescent="0.25">
      <c r="A38" s="257" t="s">
        <v>450</v>
      </c>
      <c r="B38" s="260">
        <v>8703.9</v>
      </c>
      <c r="C38" s="21"/>
      <c r="D38" s="22">
        <v>0</v>
      </c>
      <c r="E38" s="3"/>
      <c r="F38" s="3"/>
      <c r="G38" s="3"/>
    </row>
    <row r="39" spans="1:7" ht="15.75" x14ac:dyDescent="0.25">
      <c r="A39" s="106" t="s">
        <v>311</v>
      </c>
      <c r="B39" s="204">
        <v>27107.58</v>
      </c>
      <c r="C39" s="21"/>
      <c r="D39" s="22">
        <v>0</v>
      </c>
      <c r="E39" s="3"/>
      <c r="F39" s="3"/>
      <c r="G39" s="3"/>
    </row>
    <row r="40" spans="1:7" ht="15.75" x14ac:dyDescent="0.25">
      <c r="A40" s="106" t="s">
        <v>451</v>
      </c>
      <c r="B40" s="204">
        <v>10328.65</v>
      </c>
      <c r="C40" s="21"/>
      <c r="D40" s="22"/>
      <c r="E40" s="3"/>
      <c r="F40" s="3"/>
      <c r="G40" s="3"/>
    </row>
    <row r="41" spans="1:7" ht="15.75" x14ac:dyDescent="0.25">
      <c r="A41" s="106" t="s">
        <v>439</v>
      </c>
      <c r="B41" s="204">
        <v>26684.16</v>
      </c>
      <c r="C41" s="21"/>
      <c r="D41" s="22"/>
      <c r="E41" s="3"/>
      <c r="F41" s="3"/>
      <c r="G41" s="3"/>
    </row>
    <row r="42" spans="1:7" s="34" customFormat="1" ht="47.25" x14ac:dyDescent="0.25">
      <c r="A42" s="223" t="s">
        <v>401</v>
      </c>
      <c r="B42" s="208">
        <f>SUM(B43:B45)</f>
        <v>139641.45469553134</v>
      </c>
      <c r="C42" s="21"/>
      <c r="D42" s="22"/>
      <c r="E42" s="33"/>
      <c r="F42" s="33"/>
      <c r="G42" s="33"/>
    </row>
    <row r="43" spans="1:7" ht="15.75" x14ac:dyDescent="0.25">
      <c r="A43" s="35" t="s">
        <v>262</v>
      </c>
      <c r="B43" s="23">
        <f>1.04*58213.66*1.12</f>
        <v>67807.271168000007</v>
      </c>
      <c r="C43" s="39"/>
      <c r="D43" s="40"/>
      <c r="E43" s="3"/>
      <c r="F43" s="3"/>
      <c r="G43" s="3"/>
    </row>
    <row r="44" spans="1:7" ht="15.75" x14ac:dyDescent="0.25">
      <c r="A44" s="35" t="s">
        <v>263</v>
      </c>
      <c r="B44" s="23">
        <f>1.04*39766.89*1.12</f>
        <v>46320.473472000005</v>
      </c>
      <c r="C44" s="39"/>
      <c r="D44" s="40"/>
      <c r="E44" s="3"/>
      <c r="F44" s="3"/>
      <c r="G44" s="3"/>
    </row>
    <row r="45" spans="1:7" ht="15.75" x14ac:dyDescent="0.25">
      <c r="A45" s="226" t="s">
        <v>264</v>
      </c>
      <c r="B45" s="23">
        <f>1.04*21903.9406383339*1.12</f>
        <v>25513.71005553133</v>
      </c>
      <c r="C45" s="39"/>
      <c r="D45" s="40"/>
      <c r="E45" s="3"/>
      <c r="F45" s="3"/>
      <c r="G45" s="3"/>
    </row>
    <row r="46" spans="1:7" s="8" customFormat="1" ht="15.75" x14ac:dyDescent="0.25">
      <c r="A46" s="223" t="s">
        <v>265</v>
      </c>
      <c r="B46" s="208">
        <f>SUM(B47:B65)</f>
        <v>56562.17</v>
      </c>
      <c r="C46" s="21"/>
      <c r="D46" s="22"/>
    </row>
    <row r="47" spans="1:7" ht="15.75" x14ac:dyDescent="0.25">
      <c r="A47" s="224" t="s">
        <v>326</v>
      </c>
      <c r="B47" s="23">
        <v>3708.6</v>
      </c>
      <c r="C47" s="21"/>
      <c r="D47" s="22"/>
      <c r="E47" s="3" t="s">
        <v>267</v>
      </c>
      <c r="F47" s="3"/>
      <c r="G47" s="3"/>
    </row>
    <row r="48" spans="1:7" ht="15.75" x14ac:dyDescent="0.25">
      <c r="A48" s="224" t="s">
        <v>317</v>
      </c>
      <c r="B48" s="23">
        <v>4503.24</v>
      </c>
      <c r="C48" s="21"/>
      <c r="D48" s="22"/>
      <c r="E48" s="3" t="s">
        <v>269</v>
      </c>
      <c r="F48" s="3"/>
      <c r="G48" s="3"/>
    </row>
    <row r="49" spans="1:5" ht="15.75" hidden="1" x14ac:dyDescent="0.25">
      <c r="A49" s="143" t="s">
        <v>270</v>
      </c>
      <c r="B49" s="23"/>
      <c r="C49" s="21"/>
      <c r="D49" s="22"/>
      <c r="E49" s="3"/>
    </row>
    <row r="50" spans="1:5" ht="15.75" hidden="1" x14ac:dyDescent="0.25">
      <c r="A50" s="228" t="s">
        <v>380</v>
      </c>
      <c r="B50" s="20"/>
      <c r="C50" s="21"/>
      <c r="D50" s="22"/>
      <c r="E50" s="3"/>
    </row>
    <row r="51" spans="1:5" ht="15.75" x14ac:dyDescent="0.25">
      <c r="A51" s="143" t="s">
        <v>380</v>
      </c>
      <c r="B51" s="23">
        <v>8133.61</v>
      </c>
      <c r="C51" s="21"/>
      <c r="D51" s="22"/>
      <c r="E51" s="3"/>
    </row>
    <row r="52" spans="1:5" ht="15.75" hidden="1" x14ac:dyDescent="0.25">
      <c r="A52" s="143" t="s">
        <v>316</v>
      </c>
      <c r="B52" s="23"/>
      <c r="C52" s="21"/>
      <c r="D52" s="22">
        <v>105.14</v>
      </c>
      <c r="E52" s="3"/>
    </row>
    <row r="53" spans="1:5" ht="15.75" x14ac:dyDescent="0.25">
      <c r="A53" s="228" t="s">
        <v>282</v>
      </c>
      <c r="B53" s="20">
        <v>237.17</v>
      </c>
      <c r="C53" s="21">
        <v>0</v>
      </c>
      <c r="D53" s="22">
        <v>522.99</v>
      </c>
      <c r="E53" s="3"/>
    </row>
    <row r="54" spans="1:5" ht="15.75" hidden="1" x14ac:dyDescent="0.25">
      <c r="A54" s="188" t="s">
        <v>359</v>
      </c>
      <c r="B54" s="20"/>
      <c r="C54" s="21">
        <v>1</v>
      </c>
      <c r="D54" s="44">
        <v>657.53</v>
      </c>
      <c r="E54" s="3"/>
    </row>
    <row r="55" spans="1:5" ht="15.75" hidden="1" x14ac:dyDescent="0.25">
      <c r="A55" s="143" t="s">
        <v>350</v>
      </c>
      <c r="B55" s="23"/>
      <c r="C55" s="21"/>
      <c r="D55" s="44"/>
      <c r="E55" s="3"/>
    </row>
    <row r="56" spans="1:5" ht="15.75" x14ac:dyDescent="0.25">
      <c r="A56" s="143" t="s">
        <v>542</v>
      </c>
      <c r="B56" s="23">
        <v>4200</v>
      </c>
      <c r="C56" s="21">
        <v>0</v>
      </c>
      <c r="D56" s="22">
        <f>10695.76/1.18</f>
        <v>9064.203389830509</v>
      </c>
      <c r="E56" s="3"/>
    </row>
    <row r="57" spans="1:5" ht="15.75" hidden="1" x14ac:dyDescent="0.25">
      <c r="A57" s="143" t="s">
        <v>351</v>
      </c>
      <c r="B57" s="23"/>
      <c r="C57" s="21">
        <v>0</v>
      </c>
      <c r="D57" s="22">
        <f>2300/1.18</f>
        <v>1949.1525423728815</v>
      </c>
      <c r="E57" s="3"/>
    </row>
    <row r="58" spans="1:5" ht="15.75" hidden="1" x14ac:dyDescent="0.25">
      <c r="A58" s="228" t="s">
        <v>412</v>
      </c>
      <c r="B58" s="20"/>
      <c r="C58" s="21">
        <v>0</v>
      </c>
      <c r="D58" s="22">
        <v>0</v>
      </c>
      <c r="E58" s="227">
        <f>B80+B46+699.9+10702.09</f>
        <v>79785.659999999989</v>
      </c>
    </row>
    <row r="59" spans="1:5" ht="15.75" hidden="1" x14ac:dyDescent="0.25">
      <c r="A59" s="228" t="s">
        <v>279</v>
      </c>
      <c r="B59" s="20">
        <f>B13*'[6]32тарифы'!D184</f>
        <v>0</v>
      </c>
      <c r="C59" s="21"/>
      <c r="D59" s="22"/>
      <c r="E59" s="3"/>
    </row>
    <row r="60" spans="1:5" ht="15.75" hidden="1" x14ac:dyDescent="0.25">
      <c r="A60" s="187" t="s">
        <v>351</v>
      </c>
      <c r="B60" s="20"/>
      <c r="C60" s="21"/>
      <c r="D60" s="22"/>
      <c r="E60" s="3"/>
    </row>
    <row r="61" spans="1:5" ht="15.75" hidden="1" x14ac:dyDescent="0.25">
      <c r="A61" s="187" t="s">
        <v>281</v>
      </c>
      <c r="B61" s="20"/>
      <c r="C61" s="21"/>
      <c r="D61" s="22">
        <v>0</v>
      </c>
      <c r="E61" s="3"/>
    </row>
    <row r="62" spans="1:5" ht="15.75" hidden="1" x14ac:dyDescent="0.25">
      <c r="A62" s="225" t="s">
        <v>452</v>
      </c>
      <c r="B62" s="20"/>
      <c r="C62" s="21"/>
      <c r="D62" s="22">
        <v>0</v>
      </c>
      <c r="E62" s="3"/>
    </row>
    <row r="63" spans="1:5" ht="15.75" x14ac:dyDescent="0.25">
      <c r="A63" s="224" t="s">
        <v>327</v>
      </c>
      <c r="B63" s="229">
        <v>19756.61</v>
      </c>
      <c r="C63" s="46">
        <v>1</v>
      </c>
      <c r="D63" s="22">
        <v>0</v>
      </c>
      <c r="E63" s="3"/>
    </row>
    <row r="64" spans="1:5" ht="15.75" hidden="1" x14ac:dyDescent="0.25">
      <c r="A64" s="187" t="s">
        <v>284</v>
      </c>
      <c r="B64" s="112"/>
      <c r="C64" s="46">
        <v>64</v>
      </c>
      <c r="D64" s="22">
        <v>2</v>
      </c>
      <c r="E64" s="3">
        <v>1</v>
      </c>
    </row>
    <row r="65" spans="1:4" ht="15.75" x14ac:dyDescent="0.25">
      <c r="A65" s="106" t="s">
        <v>540</v>
      </c>
      <c r="B65" s="112">
        <v>16022.94</v>
      </c>
      <c r="C65" s="48"/>
      <c r="D65" s="40">
        <v>0</v>
      </c>
    </row>
    <row r="66" spans="1:4" s="8" customFormat="1" ht="15.75" x14ac:dyDescent="0.25">
      <c r="A66" s="230" t="s">
        <v>286</v>
      </c>
      <c r="B66" s="208">
        <f>SUM(B67:B74)</f>
        <v>214375.55723710454</v>
      </c>
      <c r="C66" s="39"/>
      <c r="D66" s="40"/>
    </row>
    <row r="67" spans="1:4" ht="15.75" hidden="1" x14ac:dyDescent="0.25">
      <c r="A67" s="187" t="s">
        <v>287</v>
      </c>
      <c r="B67" s="20"/>
      <c r="C67" s="39"/>
      <c r="D67" s="40"/>
    </row>
    <row r="68" spans="1:4" ht="15.75" x14ac:dyDescent="0.25">
      <c r="A68" s="224" t="s">
        <v>288</v>
      </c>
      <c r="B68" s="232">
        <f>76237*1.04*1.12</f>
        <v>88800.857600000003</v>
      </c>
      <c r="C68" s="39"/>
      <c r="D68" s="40"/>
    </row>
    <row r="69" spans="1:4" ht="15.75" hidden="1" x14ac:dyDescent="0.25">
      <c r="A69" s="187" t="s">
        <v>289</v>
      </c>
      <c r="B69" s="20"/>
      <c r="C69" s="39"/>
      <c r="D69" s="40"/>
    </row>
    <row r="70" spans="1:4" ht="15.75" x14ac:dyDescent="0.25">
      <c r="A70" s="226" t="s">
        <v>290</v>
      </c>
      <c r="B70" s="23">
        <f>'[6]32тарифы'!D164*B13*1.12</f>
        <v>3195.2111684859683</v>
      </c>
      <c r="C70" s="39"/>
      <c r="D70" s="40"/>
    </row>
    <row r="71" spans="1:4" ht="15.75" x14ac:dyDescent="0.25">
      <c r="A71" s="226" t="s">
        <v>291</v>
      </c>
      <c r="B71" s="23">
        <f>'[6]32тарифы'!D165*B15*1.12</f>
        <v>20950.963817262174</v>
      </c>
      <c r="C71" s="39"/>
      <c r="D71" s="40"/>
    </row>
    <row r="72" spans="1:4" ht="15.75" x14ac:dyDescent="0.25">
      <c r="A72" s="226" t="s">
        <v>292</v>
      </c>
      <c r="B72" s="23">
        <f>1.04*33460.2961367881*1.12</f>
        <v>38974.552940130787</v>
      </c>
      <c r="C72" s="39"/>
      <c r="D72" s="40"/>
    </row>
    <row r="73" spans="1:4" ht="15.75" x14ac:dyDescent="0.25">
      <c r="A73" s="226" t="s">
        <v>293</v>
      </c>
      <c r="B73" s="23">
        <f>1.04*5677.62332271704*1.12</f>
        <v>6613.2956463008086</v>
      </c>
      <c r="C73" s="39"/>
      <c r="D73" s="40"/>
    </row>
    <row r="74" spans="1:4" ht="15.75" x14ac:dyDescent="0.25">
      <c r="A74" s="226" t="s">
        <v>294</v>
      </c>
      <c r="B74" s="23">
        <f>1.04*47940.1408524423*1.12</f>
        <v>55840.676064924803</v>
      </c>
      <c r="C74" s="39"/>
      <c r="D74" s="40"/>
    </row>
    <row r="75" spans="1:4" ht="63" x14ac:dyDescent="0.25">
      <c r="A75" s="233" t="s">
        <v>295</v>
      </c>
      <c r="B75" s="208">
        <f>SUM(B76:B76)</f>
        <v>87360.000000000015</v>
      </c>
      <c r="C75" s="39"/>
      <c r="D75" s="40"/>
    </row>
    <row r="76" spans="1:4" ht="15.75" x14ac:dyDescent="0.25">
      <c r="A76" s="226" t="s">
        <v>296</v>
      </c>
      <c r="B76" s="23">
        <f>78000*1.12</f>
        <v>87360.000000000015</v>
      </c>
      <c r="C76" s="39"/>
      <c r="D76" s="40"/>
    </row>
    <row r="77" spans="1:4" s="8" customFormat="1" ht="15.75" x14ac:dyDescent="0.25">
      <c r="A77" s="230" t="s">
        <v>297</v>
      </c>
      <c r="B77" s="208">
        <f>SUM(B78:B81)</f>
        <v>176699.14805391614</v>
      </c>
      <c r="C77" s="39"/>
      <c r="D77" s="40"/>
    </row>
    <row r="78" spans="1:4" ht="15.75" x14ac:dyDescent="0.25">
      <c r="A78" s="234" t="s">
        <v>298</v>
      </c>
      <c r="B78" s="23">
        <f>'[6]32тарифы'!D170*B15*1.12</f>
        <v>79065.365973523876</v>
      </c>
      <c r="C78" s="39"/>
      <c r="D78" s="40"/>
    </row>
    <row r="79" spans="1:4" ht="25.5" customHeight="1" x14ac:dyDescent="0.25">
      <c r="A79" s="234" t="s">
        <v>299</v>
      </c>
      <c r="B79" s="232">
        <v>80124</v>
      </c>
      <c r="C79" s="39"/>
      <c r="D79" s="40"/>
    </row>
    <row r="80" spans="1:4" ht="15.75" x14ac:dyDescent="0.25">
      <c r="A80" s="235" t="s">
        <v>300</v>
      </c>
      <c r="B80" s="23">
        <f>5772+6049.5</f>
        <v>11821.5</v>
      </c>
      <c r="C80" s="39"/>
      <c r="D80" s="40"/>
    </row>
    <row r="81" spans="1:4" ht="15.75" x14ac:dyDescent="0.25">
      <c r="A81" s="235" t="s">
        <v>301</v>
      </c>
      <c r="B81" s="23">
        <f>'[6]32тарифы'!D173*B13*1.12</f>
        <v>5688.2820803922532</v>
      </c>
      <c r="C81" s="39"/>
      <c r="D81" s="40"/>
    </row>
    <row r="82" spans="1:4" ht="15.75" x14ac:dyDescent="0.25">
      <c r="A82" s="236" t="s">
        <v>302</v>
      </c>
      <c r="B82" s="28">
        <f>B32+B42+B46+B66+B75+B77</f>
        <v>822945.34998655203</v>
      </c>
      <c r="C82" s="39"/>
      <c r="D82" s="40"/>
    </row>
    <row r="83" spans="1:4" ht="15.75" x14ac:dyDescent="0.25">
      <c r="A83" s="237" t="s">
        <v>303</v>
      </c>
      <c r="B83" s="23">
        <f>B82*0.03</f>
        <v>24688.360499596562</v>
      </c>
      <c r="C83" s="39"/>
      <c r="D83" s="40"/>
    </row>
    <row r="84" spans="1:4" s="34" customFormat="1" ht="15.75" x14ac:dyDescent="0.25">
      <c r="A84" s="238" t="s">
        <v>304</v>
      </c>
      <c r="B84" s="208">
        <f>B82+B83</f>
        <v>847633.7104861486</v>
      </c>
      <c r="C84" s="39"/>
      <c r="D84" s="40"/>
    </row>
    <row r="85" spans="1:4" ht="16.5" thickBot="1" x14ac:dyDescent="0.3">
      <c r="A85" s="239" t="s">
        <v>305</v>
      </c>
      <c r="B85" s="240">
        <f>B84*0.2</f>
        <v>169526.74209722973</v>
      </c>
      <c r="C85" s="39"/>
      <c r="D85" s="40"/>
    </row>
    <row r="86" spans="1:4" s="8" customFormat="1" ht="16.5" thickBot="1" x14ac:dyDescent="0.3">
      <c r="A86" s="58" t="s">
        <v>306</v>
      </c>
      <c r="B86" s="66">
        <f>B84+B85</f>
        <v>1017160.4525833783</v>
      </c>
      <c r="C86" s="60"/>
      <c r="D86" s="61"/>
    </row>
    <row r="87" spans="1:4" s="8" customFormat="1" ht="16.5" thickBot="1" x14ac:dyDescent="0.3">
      <c r="A87" s="62" t="s">
        <v>307</v>
      </c>
      <c r="B87" s="296">
        <f>B10+B24+B26+B28+B29-B86</f>
        <v>-1958755.6617667568</v>
      </c>
      <c r="C87" s="63"/>
      <c r="D87" s="63"/>
    </row>
    <row r="88" spans="1:4" s="8" customFormat="1" ht="16.5" thickBot="1" x14ac:dyDescent="0.3">
      <c r="A88" s="64" t="s">
        <v>308</v>
      </c>
      <c r="B88" s="66">
        <f>B10+B25+B27+B28+B29-B86</f>
        <v>-1963240.161766757</v>
      </c>
      <c r="C88" s="63"/>
      <c r="D88" s="63"/>
    </row>
    <row r="89" spans="1:4" s="8" customFormat="1" ht="16.5" hidden="1" thickBot="1" x14ac:dyDescent="0.3">
      <c r="A89" s="241" t="s">
        <v>309</v>
      </c>
      <c r="B89" s="66">
        <f>B11+B24-B25</f>
        <v>80.270000000018626</v>
      </c>
      <c r="C89" s="63"/>
      <c r="D89" s="63"/>
    </row>
    <row r="90" spans="1:4" ht="15.75" x14ac:dyDescent="0.25">
      <c r="A90" s="3"/>
      <c r="B90" s="227"/>
      <c r="C90" s="3"/>
      <c r="D90" s="3"/>
    </row>
    <row r="91" spans="1:4" ht="10.5" customHeight="1" x14ac:dyDescent="0.25">
      <c r="A91" s="69"/>
      <c r="B91" s="3"/>
      <c r="C91" s="3"/>
      <c r="D91" s="3"/>
    </row>
    <row r="92" spans="1:4" ht="15.75" x14ac:dyDescent="0.25">
      <c r="A92" s="333" t="s">
        <v>407</v>
      </c>
      <c r="B92" s="333"/>
      <c r="C92" s="3"/>
      <c r="D92" s="3"/>
    </row>
    <row r="93" spans="1:4" ht="15.75" x14ac:dyDescent="0.25">
      <c r="A93" s="69"/>
      <c r="B93" s="3"/>
      <c r="C93" s="3"/>
      <c r="D93" s="3"/>
    </row>
    <row r="94" spans="1:4" ht="15.75" hidden="1" x14ac:dyDescent="0.25">
      <c r="A94" s="342" t="s">
        <v>408</v>
      </c>
      <c r="B94" s="342"/>
      <c r="C94" s="72"/>
      <c r="D94" s="3"/>
    </row>
    <row r="95" spans="1:4" ht="15.75" x14ac:dyDescent="0.25">
      <c r="A95" s="3"/>
      <c r="B95" s="3"/>
      <c r="C95" s="3"/>
      <c r="D95" s="3"/>
    </row>
  </sheetData>
  <autoFilter ref="A31:G89" xr:uid="{00000000-0009-0000-0000-000021000000}"/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71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pageSetUpPr fitToPage="1"/>
  </sheetPr>
  <dimension ref="A1:G95"/>
  <sheetViews>
    <sheetView view="pageBreakPreview" topLeftCell="A33" zoomScale="70" zoomScaleNormal="100" zoomScaleSheetLayoutView="70" workbookViewId="0">
      <selection activeCell="B81" sqref="B81"/>
    </sheetView>
  </sheetViews>
  <sheetFormatPr defaultRowHeight="12.75" x14ac:dyDescent="0.2"/>
  <cols>
    <col min="1" max="1" width="96.42578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13" t="s">
        <v>224</v>
      </c>
      <c r="B1" s="313"/>
      <c r="C1" s="3"/>
      <c r="D1" s="3"/>
    </row>
    <row r="2" spans="1:4" ht="16.5" x14ac:dyDescent="0.25">
      <c r="A2" s="315" t="s">
        <v>225</v>
      </c>
      <c r="B2" s="315"/>
      <c r="C2" s="3"/>
      <c r="D2" s="3"/>
    </row>
    <row r="3" spans="1:4" ht="16.5" x14ac:dyDescent="0.25">
      <c r="A3" s="315" t="s">
        <v>226</v>
      </c>
      <c r="B3" s="315"/>
      <c r="C3" s="3"/>
      <c r="D3" s="3"/>
    </row>
    <row r="4" spans="1:4" ht="15.75" x14ac:dyDescent="0.25">
      <c r="A4" s="4" t="s">
        <v>516</v>
      </c>
      <c r="B4" s="4"/>
      <c r="C4" s="3"/>
      <c r="D4" s="3"/>
    </row>
    <row r="5" spans="1:4" ht="15.75" x14ac:dyDescent="0.25">
      <c r="A5" s="4" t="s">
        <v>86</v>
      </c>
      <c r="B5" s="4"/>
      <c r="C5" s="3"/>
      <c r="D5" s="3"/>
    </row>
    <row r="6" spans="1:4" ht="5.25" customHeight="1" x14ac:dyDescent="0.25">
      <c r="A6" s="4"/>
      <c r="B6" s="8"/>
      <c r="C6" s="8"/>
      <c r="D6" s="3"/>
    </row>
    <row r="7" spans="1:4" ht="16.5" thickBot="1" x14ac:dyDescent="0.3">
      <c r="A7" s="9"/>
      <c r="B7" s="8"/>
      <c r="C7" s="8"/>
      <c r="D7" s="3"/>
    </row>
    <row r="8" spans="1:4" ht="15.75" customHeight="1" x14ac:dyDescent="0.2">
      <c r="A8" s="335" t="s">
        <v>227</v>
      </c>
      <c r="B8" s="337" t="s">
        <v>228</v>
      </c>
      <c r="C8" s="307" t="s">
        <v>229</v>
      </c>
      <c r="D8" s="307" t="s">
        <v>230</v>
      </c>
    </row>
    <row r="9" spans="1:4" ht="28.5" customHeight="1" thickBot="1" x14ac:dyDescent="0.25">
      <c r="A9" s="336"/>
      <c r="B9" s="338"/>
      <c r="C9" s="308"/>
      <c r="D9" s="308"/>
    </row>
    <row r="10" spans="1:4" s="212" customFormat="1" ht="16.5" thickBot="1" x14ac:dyDescent="0.3">
      <c r="A10" s="209" t="s">
        <v>231</v>
      </c>
      <c r="B10" s="302">
        <f>VLOOKUP(A5,мкд!S:T,2,FALSE)</f>
        <v>-1323258.890604509</v>
      </c>
      <c r="C10" s="211"/>
      <c r="D10" s="211"/>
    </row>
    <row r="11" spans="1:4" s="212" customFormat="1" ht="16.5" hidden="1" thickBot="1" x14ac:dyDescent="0.3">
      <c r="A11" s="213" t="s">
        <v>232</v>
      </c>
      <c r="B11" s="214"/>
      <c r="C11" s="215"/>
      <c r="D11" s="215"/>
    </row>
    <row r="12" spans="1:4" ht="15.75" x14ac:dyDescent="0.25">
      <c r="A12" s="216" t="s">
        <v>233</v>
      </c>
      <c r="B12" s="217"/>
      <c r="C12" s="17" t="s">
        <v>234</v>
      </c>
      <c r="D12" s="18" t="s">
        <v>234</v>
      </c>
    </row>
    <row r="13" spans="1:4" ht="15.75" hidden="1" x14ac:dyDescent="0.25">
      <c r="A13" s="182" t="s">
        <v>235</v>
      </c>
      <c r="B13" s="20">
        <v>2578.8000000000002</v>
      </c>
      <c r="C13" s="21" t="s">
        <v>234</v>
      </c>
      <c r="D13" s="22" t="s">
        <v>234</v>
      </c>
    </row>
    <row r="14" spans="1:4" ht="15.75" hidden="1" x14ac:dyDescent="0.25">
      <c r="A14" s="182" t="s">
        <v>236</v>
      </c>
      <c r="B14" s="20">
        <v>757.3</v>
      </c>
      <c r="C14" s="21"/>
      <c r="D14" s="22"/>
    </row>
    <row r="15" spans="1:4" ht="15.75" x14ac:dyDescent="0.25">
      <c r="A15" s="219" t="s">
        <v>237</v>
      </c>
      <c r="B15" s="23">
        <f>B13+B14</f>
        <v>3336.1000000000004</v>
      </c>
      <c r="C15" s="21"/>
      <c r="D15" s="22"/>
    </row>
    <row r="16" spans="1:4" ht="15.75" x14ac:dyDescent="0.25">
      <c r="A16" s="219" t="s">
        <v>238</v>
      </c>
      <c r="B16" s="23">
        <f>1678+1525.84/3</f>
        <v>2186.6133333333332</v>
      </c>
      <c r="C16" s="21" t="s">
        <v>234</v>
      </c>
      <c r="D16" s="22" t="s">
        <v>234</v>
      </c>
    </row>
    <row r="17" spans="1:7" ht="15.75" hidden="1" x14ac:dyDescent="0.25">
      <c r="A17" s="182" t="s">
        <v>239</v>
      </c>
      <c r="B17" s="20">
        <v>0</v>
      </c>
      <c r="C17" s="21" t="s">
        <v>234</v>
      </c>
      <c r="D17" s="22" t="s">
        <v>234</v>
      </c>
      <c r="E17" s="3"/>
      <c r="F17" s="3"/>
      <c r="G17" s="3"/>
    </row>
    <row r="18" spans="1:7" ht="15.75" hidden="1" x14ac:dyDescent="0.25">
      <c r="A18" s="182" t="s">
        <v>240</v>
      </c>
      <c r="B18" s="20">
        <v>891.9</v>
      </c>
      <c r="C18" s="21" t="s">
        <v>234</v>
      </c>
      <c r="D18" s="22" t="s">
        <v>234</v>
      </c>
      <c r="E18" s="3"/>
      <c r="F18" s="3"/>
      <c r="G18" s="3"/>
    </row>
    <row r="19" spans="1:7" ht="15.75" hidden="1" x14ac:dyDescent="0.25">
      <c r="A19" s="182" t="s">
        <v>241</v>
      </c>
      <c r="B19" s="20">
        <v>0</v>
      </c>
      <c r="C19" s="21" t="s">
        <v>234</v>
      </c>
      <c r="D19" s="22" t="s">
        <v>234</v>
      </c>
      <c r="E19" s="3"/>
      <c r="F19" s="3"/>
      <c r="G19" s="3"/>
    </row>
    <row r="20" spans="1:7" ht="15.75" hidden="1" x14ac:dyDescent="0.25">
      <c r="A20" s="182" t="s">
        <v>242</v>
      </c>
      <c r="B20" s="20">
        <v>1159.9000000000001</v>
      </c>
      <c r="C20" s="21"/>
      <c r="D20" s="22"/>
      <c r="E20" s="3"/>
      <c r="F20" s="3"/>
      <c r="G20" s="3"/>
    </row>
    <row r="21" spans="1:7" ht="15.75" hidden="1" x14ac:dyDescent="0.25">
      <c r="A21" s="182" t="s">
        <v>243</v>
      </c>
      <c r="B21" s="20">
        <v>0</v>
      </c>
      <c r="C21" s="21" t="s">
        <v>234</v>
      </c>
      <c r="D21" s="22" t="s">
        <v>234</v>
      </c>
      <c r="E21" s="3"/>
      <c r="F21" s="3"/>
      <c r="G21" s="3"/>
    </row>
    <row r="22" spans="1:7" ht="15.75" hidden="1" x14ac:dyDescent="0.25">
      <c r="A22" s="182" t="s">
        <v>244</v>
      </c>
      <c r="B22" s="20">
        <v>145</v>
      </c>
      <c r="C22" s="21"/>
      <c r="D22" s="22"/>
      <c r="E22" s="3"/>
      <c r="F22" s="3"/>
      <c r="G22" s="3"/>
    </row>
    <row r="23" spans="1:7" ht="15.75" x14ac:dyDescent="0.25">
      <c r="A23" s="219"/>
      <c r="B23" s="23"/>
      <c r="C23" s="21"/>
      <c r="D23" s="22"/>
      <c r="E23" s="3">
        <v>10</v>
      </c>
      <c r="F23" s="3">
        <v>2</v>
      </c>
      <c r="G23" s="3"/>
    </row>
    <row r="24" spans="1:7" ht="15.75" x14ac:dyDescent="0.25">
      <c r="A24" s="220" t="s">
        <v>319</v>
      </c>
      <c r="B24" s="28" t="e">
        <f>VLOOKUP(A5,'[5]Лист  1'!M$1:N$65536,2,FALSE)</f>
        <v>#N/A</v>
      </c>
      <c r="C24" s="21"/>
      <c r="D24" s="22"/>
      <c r="E24" s="26">
        <v>16.41</v>
      </c>
      <c r="F24" s="256">
        <v>18.369353999999998</v>
      </c>
      <c r="G24" s="3"/>
    </row>
    <row r="25" spans="1:7" ht="15.75" x14ac:dyDescent="0.25">
      <c r="A25" s="220" t="s">
        <v>320</v>
      </c>
      <c r="B25" s="28" t="e">
        <f>VLOOKUP(A5,'[5]Лист  1'!M$1:O$65536,3,FALSE)</f>
        <v>#N/A</v>
      </c>
      <c r="C25" s="21"/>
      <c r="D25" s="22"/>
      <c r="E25" s="3"/>
      <c r="F25" s="3"/>
      <c r="G25" s="3"/>
    </row>
    <row r="26" spans="1:7" ht="15.75" x14ac:dyDescent="0.25">
      <c r="A26" s="220" t="s">
        <v>353</v>
      </c>
      <c r="B26" s="28">
        <v>150520.95000000001</v>
      </c>
      <c r="C26" s="21"/>
      <c r="D26" s="22"/>
      <c r="E26" s="3"/>
      <c r="F26" s="3"/>
      <c r="G26" s="3"/>
    </row>
    <row r="27" spans="1:7" ht="15.75" x14ac:dyDescent="0.25">
      <c r="A27" s="220" t="s">
        <v>354</v>
      </c>
      <c r="B27" s="28">
        <v>96625.56</v>
      </c>
      <c r="C27" s="21"/>
      <c r="D27" s="22"/>
      <c r="E27" s="3"/>
      <c r="F27" s="3"/>
      <c r="G27" s="3"/>
    </row>
    <row r="28" spans="1:7" ht="15.75" x14ac:dyDescent="0.25">
      <c r="A28" s="220" t="s">
        <v>399</v>
      </c>
      <c r="B28" s="28">
        <v>9289.92</v>
      </c>
      <c r="C28" s="21"/>
      <c r="D28" s="22"/>
      <c r="E28" s="3"/>
      <c r="F28" s="3"/>
      <c r="G28" s="3"/>
    </row>
    <row r="29" spans="1:7" ht="15.75" hidden="1" x14ac:dyDescent="0.25">
      <c r="A29" s="220" t="s">
        <v>250</v>
      </c>
      <c r="B29" s="23"/>
      <c r="C29" s="21"/>
      <c r="D29" s="22"/>
      <c r="E29" s="3"/>
      <c r="F29" s="3"/>
      <c r="G29" s="3"/>
    </row>
    <row r="30" spans="1:7" ht="15.75" x14ac:dyDescent="0.25">
      <c r="A30" s="221"/>
      <c r="B30" s="23"/>
      <c r="C30" s="21"/>
      <c r="D30" s="22"/>
      <c r="E30" s="3"/>
      <c r="F30" s="3"/>
      <c r="G30" s="3"/>
    </row>
    <row r="31" spans="1:7" ht="15.75" x14ac:dyDescent="0.25">
      <c r="A31" s="222" t="s">
        <v>251</v>
      </c>
      <c r="B31" s="23"/>
      <c r="C31" s="21"/>
      <c r="D31" s="22"/>
      <c r="E31" s="3"/>
      <c r="F31" s="3"/>
      <c r="G31" s="3"/>
    </row>
    <row r="32" spans="1:7" s="34" customFormat="1" ht="31.5" x14ac:dyDescent="0.25">
      <c r="A32" s="223" t="s">
        <v>252</v>
      </c>
      <c r="B32" s="208">
        <f>SUM(B33:B41)</f>
        <v>51870.560000000005</v>
      </c>
      <c r="C32" s="21"/>
      <c r="D32" s="22"/>
      <c r="E32" s="33" t="e">
        <f>(B86-B24-B26)/1.2/1.03</f>
        <v>#N/A</v>
      </c>
      <c r="F32" s="33" t="e">
        <f>(#REF!-#REF!-#REF!)/1.2/1.03</f>
        <v>#REF!</v>
      </c>
      <c r="G32" s="33" t="e">
        <f>(#REF!-#REF!-#REF!)/1.2/1.03</f>
        <v>#REF!</v>
      </c>
    </row>
    <row r="33" spans="1:7" ht="15.75" x14ac:dyDescent="0.25">
      <c r="A33" s="224" t="s">
        <v>253</v>
      </c>
      <c r="B33" s="23">
        <f>46313*1.12</f>
        <v>51870.560000000005</v>
      </c>
      <c r="C33" s="21"/>
      <c r="D33" s="22">
        <v>55221.9</v>
      </c>
      <c r="E33" s="3"/>
      <c r="F33" s="3"/>
      <c r="G33" s="3"/>
    </row>
    <row r="34" spans="1:7" ht="15.75" hidden="1" x14ac:dyDescent="0.25">
      <c r="A34" s="225" t="s">
        <v>447</v>
      </c>
      <c r="B34" s="20"/>
      <c r="C34" s="21"/>
      <c r="D34" s="22">
        <v>0</v>
      </c>
      <c r="E34" s="3"/>
      <c r="F34" s="3"/>
      <c r="G34" s="3"/>
    </row>
    <row r="35" spans="1:7" ht="15.75" hidden="1" x14ac:dyDescent="0.25">
      <c r="A35" s="225" t="s">
        <v>256</v>
      </c>
      <c r="B35" s="20"/>
      <c r="C35" s="21"/>
      <c r="D35" s="22">
        <v>0</v>
      </c>
      <c r="E35" s="3"/>
      <c r="F35" s="3"/>
      <c r="G35" s="3"/>
    </row>
    <row r="36" spans="1:7" ht="15.75" hidden="1" x14ac:dyDescent="0.25">
      <c r="A36" s="224" t="s">
        <v>255</v>
      </c>
      <c r="B36" s="23"/>
      <c r="C36" s="21" t="s">
        <v>234</v>
      </c>
      <c r="D36" s="22">
        <v>0</v>
      </c>
      <c r="E36" s="3"/>
      <c r="F36" s="3"/>
      <c r="G36" s="3"/>
    </row>
    <row r="37" spans="1:7" ht="15.75" hidden="1" x14ac:dyDescent="0.25">
      <c r="A37" s="225" t="s">
        <v>400</v>
      </c>
      <c r="B37" s="20"/>
      <c r="C37" s="21"/>
      <c r="D37" s="22">
        <v>0</v>
      </c>
      <c r="E37" s="3"/>
      <c r="F37" s="3"/>
      <c r="G37" s="3"/>
    </row>
    <row r="38" spans="1:7" ht="15.75" hidden="1" x14ac:dyDescent="0.25">
      <c r="A38" s="224" t="s">
        <v>258</v>
      </c>
      <c r="B38" s="23"/>
      <c r="C38" s="21"/>
      <c r="D38" s="22">
        <v>0</v>
      </c>
      <c r="E38" s="3"/>
      <c r="F38" s="3"/>
      <c r="G38" s="3"/>
    </row>
    <row r="39" spans="1:7" ht="15.75" hidden="1" x14ac:dyDescent="0.25">
      <c r="A39" s="187" t="s">
        <v>259</v>
      </c>
      <c r="B39" s="20"/>
      <c r="C39" s="21"/>
      <c r="D39" s="22">
        <v>0</v>
      </c>
      <c r="E39" s="3"/>
      <c r="F39" s="3"/>
      <c r="G39" s="3"/>
    </row>
    <row r="40" spans="1:7" ht="15.75" x14ac:dyDescent="0.25">
      <c r="A40" s="187" t="s">
        <v>312</v>
      </c>
      <c r="B40" s="20"/>
      <c r="C40" s="21"/>
      <c r="D40" s="22"/>
      <c r="E40" s="3"/>
      <c r="F40" s="3"/>
      <c r="G40" s="3"/>
    </row>
    <row r="41" spans="1:7" ht="15.75" x14ac:dyDescent="0.25">
      <c r="A41" s="35" t="s">
        <v>445</v>
      </c>
      <c r="B41" s="23"/>
      <c r="C41" s="21"/>
      <c r="D41" s="22"/>
      <c r="E41" s="3"/>
      <c r="F41" s="3"/>
      <c r="G41" s="3"/>
    </row>
    <row r="42" spans="1:7" s="34" customFormat="1" ht="47.25" x14ac:dyDescent="0.25">
      <c r="A42" s="223" t="s">
        <v>401</v>
      </c>
      <c r="B42" s="208">
        <f>SUM(B43:B45)</f>
        <v>116658.07076492743</v>
      </c>
      <c r="C42" s="21"/>
      <c r="D42" s="22"/>
      <c r="E42" s="33"/>
      <c r="F42" s="33"/>
      <c r="G42" s="33"/>
    </row>
    <row r="43" spans="1:7" ht="15.75" x14ac:dyDescent="0.25">
      <c r="A43" s="35" t="s">
        <v>262</v>
      </c>
      <c r="B43" s="23">
        <v>82499.63</v>
      </c>
      <c r="C43" s="39"/>
      <c r="D43" s="40"/>
      <c r="E43" s="3"/>
      <c r="F43" s="3"/>
      <c r="G43" s="3"/>
    </row>
    <row r="44" spans="1:7" ht="15.75" x14ac:dyDescent="0.25">
      <c r="A44" s="35" t="s">
        <v>263</v>
      </c>
      <c r="B44" s="23">
        <v>16211</v>
      </c>
      <c r="C44" s="39"/>
      <c r="D44" s="40"/>
      <c r="E44" s="3"/>
      <c r="F44" s="3"/>
      <c r="G44" s="3"/>
    </row>
    <row r="45" spans="1:7" ht="15.75" x14ac:dyDescent="0.25">
      <c r="A45" s="226" t="s">
        <v>264</v>
      </c>
      <c r="B45" s="23">
        <f>'[6]32тарифы'!D163*B15+221.32*1.12</f>
        <v>17947.440764927418</v>
      </c>
      <c r="C45" s="39"/>
      <c r="D45" s="40"/>
      <c r="E45" s="3"/>
      <c r="F45" s="3"/>
      <c r="G45" s="3"/>
    </row>
    <row r="46" spans="1:7" s="8" customFormat="1" ht="15.75" x14ac:dyDescent="0.25">
      <c r="A46" s="223" t="s">
        <v>265</v>
      </c>
      <c r="B46" s="208">
        <f>SUM(B47:B65)</f>
        <v>53604.359999999993</v>
      </c>
      <c r="C46" s="21"/>
      <c r="D46" s="22"/>
    </row>
    <row r="47" spans="1:7" ht="15.75" x14ac:dyDescent="0.25">
      <c r="A47" s="224" t="s">
        <v>326</v>
      </c>
      <c r="B47" s="23">
        <v>3746.04</v>
      </c>
      <c r="C47" s="21"/>
      <c r="D47" s="22"/>
      <c r="E47" s="3" t="s">
        <v>267</v>
      </c>
      <c r="F47" s="3"/>
      <c r="G47" s="3"/>
    </row>
    <row r="48" spans="1:7" ht="15.75" x14ac:dyDescent="0.25">
      <c r="A48" s="224" t="s">
        <v>317</v>
      </c>
      <c r="B48" s="23">
        <v>4548.72</v>
      </c>
      <c r="C48" s="21"/>
      <c r="D48" s="22"/>
      <c r="E48" s="3" t="s">
        <v>269</v>
      </c>
      <c r="F48" s="3"/>
      <c r="G48" s="3"/>
    </row>
    <row r="49" spans="1:5" ht="15.75" hidden="1" x14ac:dyDescent="0.25">
      <c r="A49" s="143" t="s">
        <v>366</v>
      </c>
      <c r="B49" s="23"/>
      <c r="C49" s="21"/>
      <c r="D49" s="22"/>
      <c r="E49" s="3"/>
    </row>
    <row r="50" spans="1:5" ht="15.75" hidden="1" x14ac:dyDescent="0.25">
      <c r="A50" s="228" t="s">
        <v>282</v>
      </c>
      <c r="B50" s="20"/>
      <c r="C50" s="21"/>
      <c r="D50" s="22"/>
      <c r="E50" s="3"/>
    </row>
    <row r="51" spans="1:5" ht="15.75" hidden="1" x14ac:dyDescent="0.25">
      <c r="A51" s="143" t="s">
        <v>448</v>
      </c>
      <c r="B51" s="23"/>
      <c r="C51" s="21"/>
      <c r="D51" s="22"/>
      <c r="E51" s="3"/>
    </row>
    <row r="52" spans="1:5" ht="15.75" hidden="1" x14ac:dyDescent="0.25">
      <c r="A52" s="143" t="s">
        <v>423</v>
      </c>
      <c r="B52" s="23"/>
      <c r="C52" s="21"/>
      <c r="D52" s="22">
        <v>105.14</v>
      </c>
      <c r="E52" s="3"/>
    </row>
    <row r="53" spans="1:5" ht="15.75" hidden="1" x14ac:dyDescent="0.25">
      <c r="A53" s="228" t="s">
        <v>412</v>
      </c>
      <c r="B53" s="20"/>
      <c r="C53" s="21">
        <v>0</v>
      </c>
      <c r="D53" s="22">
        <v>522.99</v>
      </c>
      <c r="E53" s="3"/>
    </row>
    <row r="54" spans="1:5" ht="15.75" x14ac:dyDescent="0.25">
      <c r="A54" s="188" t="s">
        <v>359</v>
      </c>
      <c r="B54" s="20">
        <v>8133.61</v>
      </c>
      <c r="C54" s="21">
        <v>1</v>
      </c>
      <c r="D54" s="44">
        <v>657.53</v>
      </c>
      <c r="E54" s="3"/>
    </row>
    <row r="55" spans="1:5" ht="15.75" hidden="1" x14ac:dyDescent="0.25">
      <c r="A55" s="143" t="s">
        <v>412</v>
      </c>
      <c r="B55" s="23"/>
      <c r="C55" s="21"/>
      <c r="D55" s="44"/>
      <c r="E55" s="3"/>
    </row>
    <row r="56" spans="1:5" ht="15.75" hidden="1" x14ac:dyDescent="0.25">
      <c r="A56" s="143" t="s">
        <v>277</v>
      </c>
      <c r="B56" s="23"/>
      <c r="C56" s="21">
        <v>0</v>
      </c>
      <c r="D56" s="22">
        <f>10695.76/1.18</f>
        <v>9064.203389830509</v>
      </c>
      <c r="E56" s="3"/>
    </row>
    <row r="57" spans="1:5" ht="15.75" hidden="1" x14ac:dyDescent="0.25">
      <c r="A57" s="143" t="s">
        <v>316</v>
      </c>
      <c r="B57" s="23"/>
      <c r="C57" s="21">
        <v>0</v>
      </c>
      <c r="D57" s="22">
        <f>2300/1.18</f>
        <v>1949.1525423728815</v>
      </c>
      <c r="E57" s="3"/>
    </row>
    <row r="58" spans="1:5" ht="15.75" hidden="1" x14ac:dyDescent="0.25">
      <c r="A58" s="228" t="s">
        <v>418</v>
      </c>
      <c r="B58" s="20"/>
      <c r="C58" s="21">
        <v>0</v>
      </c>
      <c r="D58" s="22">
        <v>0</v>
      </c>
      <c r="E58" s="3"/>
    </row>
    <row r="59" spans="1:5" ht="15.75" hidden="1" x14ac:dyDescent="0.25">
      <c r="A59" s="228" t="s">
        <v>279</v>
      </c>
      <c r="B59" s="20">
        <f>B13*'[6]32тарифы'!D184</f>
        <v>0</v>
      </c>
      <c r="C59" s="21"/>
      <c r="D59" s="22"/>
      <c r="E59" s="3"/>
    </row>
    <row r="60" spans="1:5" ht="15.75" hidden="1" x14ac:dyDescent="0.25">
      <c r="A60" s="187" t="s">
        <v>380</v>
      </c>
      <c r="B60" s="20"/>
      <c r="C60" s="21"/>
      <c r="D60" s="22"/>
      <c r="E60" s="3"/>
    </row>
    <row r="61" spans="1:5" ht="15.75" hidden="1" x14ac:dyDescent="0.25">
      <c r="A61" s="187" t="s">
        <v>346</v>
      </c>
      <c r="B61" s="20"/>
      <c r="C61" s="21"/>
      <c r="D61" s="22">
        <v>0</v>
      </c>
      <c r="E61" s="227">
        <f>B80+B46-B59+647.52</f>
        <v>70389.259999999995</v>
      </c>
    </row>
    <row r="62" spans="1:5" ht="15.75" hidden="1" x14ac:dyDescent="0.25">
      <c r="A62" s="225" t="s">
        <v>348</v>
      </c>
      <c r="B62" s="20"/>
      <c r="C62" s="21"/>
      <c r="D62" s="22">
        <v>0</v>
      </c>
      <c r="E62" s="3"/>
    </row>
    <row r="63" spans="1:5" ht="15.75" x14ac:dyDescent="0.25">
      <c r="A63" s="224" t="s">
        <v>327</v>
      </c>
      <c r="B63" s="229">
        <v>32870.92</v>
      </c>
      <c r="C63" s="46">
        <v>1</v>
      </c>
      <c r="D63" s="22">
        <v>0</v>
      </c>
      <c r="E63" s="3"/>
    </row>
    <row r="64" spans="1:5" ht="15.75" x14ac:dyDescent="0.25">
      <c r="A64" s="187" t="s">
        <v>542</v>
      </c>
      <c r="B64" s="112">
        <v>4200</v>
      </c>
      <c r="C64" s="46">
        <v>64</v>
      </c>
      <c r="D64" s="22">
        <v>2</v>
      </c>
      <c r="E64" s="3">
        <v>1</v>
      </c>
    </row>
    <row r="65" spans="1:4" ht="15.75" x14ac:dyDescent="0.25">
      <c r="A65" s="187" t="s">
        <v>282</v>
      </c>
      <c r="B65" s="112">
        <v>105.07</v>
      </c>
      <c r="C65" s="48"/>
      <c r="D65" s="40">
        <v>0</v>
      </c>
    </row>
    <row r="66" spans="1:4" s="8" customFormat="1" ht="15.75" x14ac:dyDescent="0.25">
      <c r="A66" s="230" t="s">
        <v>286</v>
      </c>
      <c r="B66" s="208">
        <f>SUM(B67:B74)</f>
        <v>127804.64395886901</v>
      </c>
      <c r="C66" s="39"/>
      <c r="D66" s="40"/>
    </row>
    <row r="67" spans="1:4" ht="15.75" hidden="1" x14ac:dyDescent="0.25">
      <c r="A67" s="187" t="s">
        <v>287</v>
      </c>
      <c r="B67" s="20"/>
      <c r="C67" s="39"/>
      <c r="D67" s="40"/>
    </row>
    <row r="68" spans="1:4" ht="15.75" hidden="1" x14ac:dyDescent="0.25">
      <c r="A68" s="224" t="s">
        <v>288</v>
      </c>
      <c r="B68" s="232"/>
      <c r="C68" s="39"/>
      <c r="D68" s="40"/>
    </row>
    <row r="69" spans="1:4" ht="15.75" hidden="1" x14ac:dyDescent="0.25">
      <c r="A69" s="187" t="s">
        <v>289</v>
      </c>
      <c r="B69" s="20"/>
      <c r="C69" s="39"/>
      <c r="D69" s="40"/>
    </row>
    <row r="70" spans="1:4" ht="15.75" x14ac:dyDescent="0.25">
      <c r="A70" s="226" t="s">
        <v>290</v>
      </c>
      <c r="B70" s="23">
        <f>'[6]32тарифы'!D164*B13*1.12</f>
        <v>3184.2217263560751</v>
      </c>
      <c r="C70" s="39"/>
      <c r="D70" s="40"/>
    </row>
    <row r="71" spans="1:4" ht="15.75" x14ac:dyDescent="0.25">
      <c r="A71" s="226" t="s">
        <v>291</v>
      </c>
      <c r="B71" s="23">
        <f>'[6]32тарифы'!D165*B15*1.12</f>
        <v>21334.604268711479</v>
      </c>
      <c r="C71" s="39"/>
      <c r="D71" s="40"/>
    </row>
    <row r="72" spans="1:4" ht="15.75" x14ac:dyDescent="0.25">
      <c r="A72" s="226" t="s">
        <v>292</v>
      </c>
      <c r="B72" s="23">
        <f>1.04*34072.99936264*1.12</f>
        <v>39688.229657603086</v>
      </c>
      <c r="C72" s="39"/>
      <c r="D72" s="40"/>
    </row>
    <row r="73" spans="1:4" ht="15.75" x14ac:dyDescent="0.25">
      <c r="A73" s="226" t="s">
        <v>293</v>
      </c>
      <c r="B73" s="23">
        <f>1.04*5781.58827600915*1.12</f>
        <v>6734.3940238954592</v>
      </c>
      <c r="C73" s="39"/>
      <c r="D73" s="40"/>
    </row>
    <row r="74" spans="1:4" ht="15.75" x14ac:dyDescent="0.25">
      <c r="A74" s="226" t="s">
        <v>294</v>
      </c>
      <c r="B74" s="23">
        <f>1.04*48817.9895967573*1.12</f>
        <v>56863.194282302917</v>
      </c>
      <c r="C74" s="39"/>
      <c r="D74" s="40"/>
    </row>
    <row r="75" spans="1:4" ht="63" x14ac:dyDescent="0.25">
      <c r="A75" s="233" t="s">
        <v>295</v>
      </c>
      <c r="B75" s="208">
        <f>SUM(B76:B76)</f>
        <v>87762.08</v>
      </c>
      <c r="C75" s="39"/>
      <c r="D75" s="40"/>
    </row>
    <row r="76" spans="1:4" ht="15.75" x14ac:dyDescent="0.25">
      <c r="A76" s="226" t="s">
        <v>296</v>
      </c>
      <c r="B76" s="23">
        <f>78359*1.12</f>
        <v>87762.08</v>
      </c>
      <c r="C76" s="39"/>
      <c r="D76" s="40"/>
    </row>
    <row r="77" spans="1:4" s="8" customFormat="1" ht="15.75" x14ac:dyDescent="0.25">
      <c r="A77" s="230" t="s">
        <v>297</v>
      </c>
      <c r="B77" s="208">
        <f>SUM(B78:B81)</f>
        <v>186881.25773939848</v>
      </c>
      <c r="C77" s="39"/>
      <c r="D77" s="40"/>
    </row>
    <row r="78" spans="1:4" ht="15.75" x14ac:dyDescent="0.25">
      <c r="A78" s="234" t="s">
        <v>298</v>
      </c>
      <c r="B78" s="23">
        <f>'[6]32тарифы'!D170*B15*1.12</f>
        <v>80513.159638801211</v>
      </c>
      <c r="C78" s="39"/>
      <c r="D78" s="40"/>
    </row>
    <row r="79" spans="1:4" ht="15.75" x14ac:dyDescent="0.25">
      <c r="A79" s="234" t="s">
        <v>299</v>
      </c>
      <c r="B79" s="232">
        <v>84562</v>
      </c>
      <c r="C79" s="39"/>
      <c r="D79" s="40"/>
    </row>
    <row r="80" spans="1:4" ht="15.75" x14ac:dyDescent="0.25">
      <c r="A80" s="235" t="s">
        <v>300</v>
      </c>
      <c r="B80" s="23">
        <f>9081.43+7055.95</f>
        <v>16137.380000000001</v>
      </c>
      <c r="C80" s="39"/>
      <c r="D80" s="40"/>
    </row>
    <row r="81" spans="1:4" ht="15.75" x14ac:dyDescent="0.25">
      <c r="A81" s="235" t="s">
        <v>301</v>
      </c>
      <c r="B81" s="23">
        <f>'[6]32тарифы'!D173*B13*1.12</f>
        <v>5668.7181005972661</v>
      </c>
      <c r="C81" s="39"/>
      <c r="D81" s="40"/>
    </row>
    <row r="82" spans="1:4" ht="15.75" x14ac:dyDescent="0.25">
      <c r="A82" s="236" t="s">
        <v>302</v>
      </c>
      <c r="B82" s="28">
        <f>B32+B42+B46+B66+B75+B77</f>
        <v>624580.97246319486</v>
      </c>
      <c r="C82" s="39"/>
      <c r="D82" s="40"/>
    </row>
    <row r="83" spans="1:4" ht="15.75" x14ac:dyDescent="0.25">
      <c r="A83" s="237" t="s">
        <v>303</v>
      </c>
      <c r="B83" s="23">
        <f>B82*0.03</f>
        <v>18737.429173895845</v>
      </c>
      <c r="C83" s="39"/>
      <c r="D83" s="40"/>
    </row>
    <row r="84" spans="1:4" s="34" customFormat="1" ht="15.75" x14ac:dyDescent="0.25">
      <c r="A84" s="238" t="s">
        <v>304</v>
      </c>
      <c r="B84" s="208">
        <f>B82+B83</f>
        <v>643318.40163709072</v>
      </c>
      <c r="C84" s="39"/>
      <c r="D84" s="40"/>
    </row>
    <row r="85" spans="1:4" ht="16.5" thickBot="1" x14ac:dyDescent="0.3">
      <c r="A85" s="239" t="s">
        <v>305</v>
      </c>
      <c r="B85" s="240">
        <f>B84*0.2</f>
        <v>128663.68032741814</v>
      </c>
      <c r="C85" s="39"/>
      <c r="D85" s="40"/>
    </row>
    <row r="86" spans="1:4" s="8" customFormat="1" ht="16.5" thickBot="1" x14ac:dyDescent="0.3">
      <c r="A86" s="58" t="s">
        <v>306</v>
      </c>
      <c r="B86" s="66">
        <f>B84+B85</f>
        <v>771982.08196450886</v>
      </c>
      <c r="C86" s="60"/>
      <c r="D86" s="61"/>
    </row>
    <row r="87" spans="1:4" s="8" customFormat="1" ht="16.5" thickBot="1" x14ac:dyDescent="0.3">
      <c r="A87" s="62" t="s">
        <v>307</v>
      </c>
      <c r="B87" s="296" t="e">
        <f>B10+B24+B26+B28+B29-B86</f>
        <v>#N/A</v>
      </c>
      <c r="C87" s="63"/>
      <c r="D87" s="63"/>
    </row>
    <row r="88" spans="1:4" s="8" customFormat="1" ht="16.5" thickBot="1" x14ac:dyDescent="0.3">
      <c r="A88" s="64" t="s">
        <v>308</v>
      </c>
      <c r="B88" s="66" t="e">
        <f>B10+B25+B27+B28+B29-B86</f>
        <v>#N/A</v>
      </c>
      <c r="C88" s="63"/>
      <c r="D88" s="63"/>
    </row>
    <row r="89" spans="1:4" s="8" customFormat="1" ht="16.5" hidden="1" thickBot="1" x14ac:dyDescent="0.3">
      <c r="A89" s="241" t="s">
        <v>309</v>
      </c>
      <c r="B89" s="66" t="e">
        <f>B11+B24-B25</f>
        <v>#N/A</v>
      </c>
      <c r="C89" s="63"/>
      <c r="D89" s="63"/>
    </row>
    <row r="90" spans="1:4" ht="15.75" x14ac:dyDescent="0.25">
      <c r="A90" s="3"/>
      <c r="B90" s="227"/>
      <c r="C90" s="3"/>
      <c r="D90" s="3"/>
    </row>
    <row r="91" spans="1:4" ht="10.5" customHeight="1" x14ac:dyDescent="0.25">
      <c r="A91" s="69"/>
      <c r="B91" s="3"/>
      <c r="C91" s="3"/>
      <c r="D91" s="3"/>
    </row>
    <row r="92" spans="1:4" ht="15.75" x14ac:dyDescent="0.25">
      <c r="A92" s="333" t="s">
        <v>407</v>
      </c>
      <c r="B92" s="333"/>
      <c r="C92" s="3"/>
      <c r="D92" s="3"/>
    </row>
    <row r="93" spans="1:4" ht="15.75" x14ac:dyDescent="0.25">
      <c r="A93" s="69"/>
      <c r="B93" s="3"/>
      <c r="C93" s="3"/>
      <c r="D93" s="3"/>
    </row>
    <row r="94" spans="1:4" ht="15.75" hidden="1" x14ac:dyDescent="0.25">
      <c r="A94" s="342" t="s">
        <v>408</v>
      </c>
      <c r="B94" s="342"/>
      <c r="C94" s="72"/>
      <c r="D94" s="3"/>
    </row>
    <row r="95" spans="1:4" ht="15.75" x14ac:dyDescent="0.25">
      <c r="A95" s="3"/>
      <c r="B95" s="3"/>
      <c r="C95" s="3"/>
      <c r="D95" s="3"/>
    </row>
  </sheetData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78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pageSetUpPr fitToPage="1"/>
  </sheetPr>
  <dimension ref="A1:G95"/>
  <sheetViews>
    <sheetView view="pageBreakPreview" topLeftCell="A34" zoomScale="75" zoomScaleNormal="100" zoomScaleSheetLayoutView="75" workbookViewId="0">
      <selection activeCell="B81" sqref="B81"/>
    </sheetView>
  </sheetViews>
  <sheetFormatPr defaultRowHeight="12.75" x14ac:dyDescent="0.2"/>
  <cols>
    <col min="1" max="1" width="96.42578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13" t="s">
        <v>224</v>
      </c>
      <c r="B1" s="313"/>
      <c r="C1" s="3"/>
      <c r="D1" s="3"/>
    </row>
    <row r="2" spans="1:4" ht="16.5" x14ac:dyDescent="0.25">
      <c r="A2" s="315" t="s">
        <v>225</v>
      </c>
      <c r="B2" s="315"/>
      <c r="C2" s="3"/>
      <c r="D2" s="3"/>
    </row>
    <row r="3" spans="1:4" ht="16.5" x14ac:dyDescent="0.25">
      <c r="A3" s="315" t="s">
        <v>226</v>
      </c>
      <c r="B3" s="315"/>
      <c r="C3" s="3"/>
      <c r="D3" s="3"/>
    </row>
    <row r="4" spans="1:4" ht="15.75" x14ac:dyDescent="0.25">
      <c r="A4" s="4" t="s">
        <v>516</v>
      </c>
      <c r="B4" s="4"/>
      <c r="C4" s="3"/>
      <c r="D4" s="3"/>
    </row>
    <row r="5" spans="1:4" ht="15.75" x14ac:dyDescent="0.25">
      <c r="A5" s="4" t="s">
        <v>87</v>
      </c>
      <c r="B5" s="4"/>
      <c r="C5" s="3"/>
      <c r="D5" s="3"/>
    </row>
    <row r="6" spans="1:4" ht="5.25" customHeight="1" x14ac:dyDescent="0.25">
      <c r="A6" s="4"/>
      <c r="B6" s="8"/>
      <c r="C6" s="8"/>
      <c r="D6" s="3"/>
    </row>
    <row r="7" spans="1:4" ht="16.5" thickBot="1" x14ac:dyDescent="0.3">
      <c r="A7" s="9"/>
      <c r="B7" s="8"/>
      <c r="C7" s="8"/>
      <c r="D7" s="3"/>
    </row>
    <row r="8" spans="1:4" ht="15.75" customHeight="1" x14ac:dyDescent="0.2">
      <c r="A8" s="335" t="s">
        <v>227</v>
      </c>
      <c r="B8" s="337" t="s">
        <v>228</v>
      </c>
      <c r="C8" s="307" t="s">
        <v>229</v>
      </c>
      <c r="D8" s="307" t="s">
        <v>230</v>
      </c>
    </row>
    <row r="9" spans="1:4" ht="28.5" customHeight="1" thickBot="1" x14ac:dyDescent="0.25">
      <c r="A9" s="336"/>
      <c r="B9" s="338"/>
      <c r="C9" s="308"/>
      <c r="D9" s="308"/>
    </row>
    <row r="10" spans="1:4" s="212" customFormat="1" ht="16.5" thickBot="1" x14ac:dyDescent="0.3">
      <c r="A10" s="209" t="s">
        <v>231</v>
      </c>
      <c r="B10" s="302">
        <f>VLOOKUP(A5,мкд!S:T,2,FALSE)</f>
        <v>-909005.02</v>
      </c>
      <c r="C10" s="211"/>
      <c r="D10" s="211"/>
    </row>
    <row r="11" spans="1:4" s="212" customFormat="1" ht="16.5" hidden="1" thickBot="1" x14ac:dyDescent="0.3">
      <c r="A11" s="213" t="s">
        <v>232</v>
      </c>
      <c r="B11" s="214"/>
      <c r="C11" s="215"/>
      <c r="D11" s="215"/>
    </row>
    <row r="12" spans="1:4" ht="15.75" x14ac:dyDescent="0.25">
      <c r="A12" s="216" t="s">
        <v>233</v>
      </c>
      <c r="B12" s="217"/>
      <c r="C12" s="17" t="s">
        <v>234</v>
      </c>
      <c r="D12" s="18" t="s">
        <v>234</v>
      </c>
    </row>
    <row r="13" spans="1:4" ht="15.75" hidden="1" x14ac:dyDescent="0.25">
      <c r="A13" s="182" t="s">
        <v>235</v>
      </c>
      <c r="B13" s="20">
        <v>2640.6</v>
      </c>
      <c r="C13" s="21" t="s">
        <v>234</v>
      </c>
      <c r="D13" s="22" t="s">
        <v>234</v>
      </c>
    </row>
    <row r="14" spans="1:4" ht="15.75" hidden="1" x14ac:dyDescent="0.25">
      <c r="A14" s="182" t="s">
        <v>236</v>
      </c>
      <c r="B14" s="20">
        <v>0</v>
      </c>
      <c r="C14" s="21"/>
      <c r="D14" s="22"/>
    </row>
    <row r="15" spans="1:4" ht="15.75" x14ac:dyDescent="0.25">
      <c r="A15" s="219" t="s">
        <v>237</v>
      </c>
      <c r="B15" s="23">
        <f>B13+B14</f>
        <v>2640.6</v>
      </c>
      <c r="C15" s="21"/>
      <c r="D15" s="22"/>
    </row>
    <row r="16" spans="1:4" ht="15.75" x14ac:dyDescent="0.25">
      <c r="A16" s="219" t="s">
        <v>238</v>
      </c>
      <c r="B16" s="23">
        <f>1462.5+1772.9/3</f>
        <v>2053.4666666666667</v>
      </c>
      <c r="C16" s="21" t="s">
        <v>234</v>
      </c>
      <c r="D16" s="22" t="s">
        <v>234</v>
      </c>
    </row>
    <row r="17" spans="1:7" ht="15.75" hidden="1" x14ac:dyDescent="0.25">
      <c r="A17" s="182" t="s">
        <v>239</v>
      </c>
      <c r="B17" s="20">
        <v>0</v>
      </c>
      <c r="C17" s="21" t="s">
        <v>234</v>
      </c>
      <c r="D17" s="22" t="s">
        <v>234</v>
      </c>
      <c r="E17" s="3"/>
      <c r="F17" s="3"/>
      <c r="G17" s="3"/>
    </row>
    <row r="18" spans="1:7" ht="15.75" hidden="1" x14ac:dyDescent="0.25">
      <c r="A18" s="182" t="s">
        <v>240</v>
      </c>
      <c r="B18" s="20">
        <v>683.6</v>
      </c>
      <c r="C18" s="21" t="s">
        <v>234</v>
      </c>
      <c r="D18" s="22" t="s">
        <v>234</v>
      </c>
      <c r="E18" s="3"/>
      <c r="F18" s="3"/>
      <c r="G18" s="3"/>
    </row>
    <row r="19" spans="1:7" ht="15.75" hidden="1" x14ac:dyDescent="0.25">
      <c r="A19" s="182" t="s">
        <v>241</v>
      </c>
      <c r="B19" s="20">
        <v>0</v>
      </c>
      <c r="C19" s="21" t="s">
        <v>234</v>
      </c>
      <c r="D19" s="22" t="s">
        <v>234</v>
      </c>
      <c r="E19" s="3"/>
      <c r="F19" s="3"/>
      <c r="G19" s="3"/>
    </row>
    <row r="20" spans="1:7" ht="15.75" hidden="1" x14ac:dyDescent="0.25">
      <c r="A20" s="182" t="s">
        <v>242</v>
      </c>
      <c r="B20" s="20">
        <v>752</v>
      </c>
      <c r="C20" s="21"/>
      <c r="D20" s="22"/>
      <c r="E20" s="3"/>
      <c r="F20" s="3"/>
      <c r="G20" s="3"/>
    </row>
    <row r="21" spans="1:7" ht="15.75" hidden="1" x14ac:dyDescent="0.25">
      <c r="A21" s="182" t="s">
        <v>243</v>
      </c>
      <c r="B21" s="20">
        <v>0</v>
      </c>
      <c r="C21" s="21" t="s">
        <v>234</v>
      </c>
      <c r="D21" s="22" t="s">
        <v>234</v>
      </c>
      <c r="E21" s="3"/>
      <c r="F21" s="3"/>
      <c r="G21" s="3"/>
    </row>
    <row r="22" spans="1:7" ht="15.75" hidden="1" x14ac:dyDescent="0.25">
      <c r="A22" s="182" t="s">
        <v>244</v>
      </c>
      <c r="B22" s="20">
        <v>154</v>
      </c>
      <c r="C22" s="21"/>
      <c r="D22" s="22"/>
      <c r="E22" s="3"/>
      <c r="F22" s="3"/>
      <c r="G22" s="3"/>
    </row>
    <row r="23" spans="1:7" ht="15.75" x14ac:dyDescent="0.25">
      <c r="A23" s="219"/>
      <c r="B23" s="23"/>
      <c r="C23" s="21"/>
      <c r="D23" s="22"/>
      <c r="E23" s="3">
        <v>10</v>
      </c>
      <c r="F23" s="3">
        <v>2</v>
      </c>
      <c r="G23" s="3"/>
    </row>
    <row r="24" spans="1:7" ht="15.75" x14ac:dyDescent="0.25">
      <c r="A24" s="220" t="s">
        <v>319</v>
      </c>
      <c r="B24" s="28">
        <f>VLOOKUP(A5,'[5]Лист  1'!M$1:N$65536,2,FALSE)</f>
        <v>500288.52</v>
      </c>
      <c r="C24" s="21"/>
      <c r="D24" s="22"/>
      <c r="E24" s="26">
        <v>15.48</v>
      </c>
      <c r="F24" s="256">
        <v>17.328312</v>
      </c>
      <c r="G24" s="3"/>
    </row>
    <row r="25" spans="1:7" ht="15.75" x14ac:dyDescent="0.25">
      <c r="A25" s="220" t="s">
        <v>320</v>
      </c>
      <c r="B25" s="28">
        <f>VLOOKUP(A5,'[5]Лист  1'!M$1:O$65536,3,FALSE)</f>
        <v>496645.77</v>
      </c>
      <c r="C25" s="21"/>
      <c r="D25" s="22"/>
      <c r="E25" s="3"/>
      <c r="F25" s="3"/>
      <c r="G25" s="3"/>
    </row>
    <row r="26" spans="1:7" ht="15.75" hidden="1" x14ac:dyDescent="0.25">
      <c r="A26" s="220" t="s">
        <v>353</v>
      </c>
      <c r="B26" s="28"/>
      <c r="C26" s="21"/>
      <c r="D26" s="22"/>
      <c r="E26" s="3"/>
      <c r="F26" s="3"/>
      <c r="G26" s="3"/>
    </row>
    <row r="27" spans="1:7" ht="15.75" hidden="1" x14ac:dyDescent="0.25">
      <c r="A27" s="220" t="s">
        <v>354</v>
      </c>
      <c r="B27" s="28"/>
      <c r="C27" s="21"/>
      <c r="D27" s="22"/>
      <c r="E27" s="3"/>
      <c r="F27" s="3"/>
      <c r="G27" s="3"/>
    </row>
    <row r="28" spans="1:7" ht="15.75" x14ac:dyDescent="0.25">
      <c r="A28" s="220" t="s">
        <v>399</v>
      </c>
      <c r="B28" s="28">
        <v>9289.92</v>
      </c>
      <c r="C28" s="21"/>
      <c r="D28" s="22"/>
      <c r="E28" s="3"/>
      <c r="F28" s="3"/>
      <c r="G28" s="3"/>
    </row>
    <row r="29" spans="1:7" ht="15.75" hidden="1" x14ac:dyDescent="0.25">
      <c r="A29" s="220" t="s">
        <v>250</v>
      </c>
      <c r="B29" s="23"/>
      <c r="C29" s="21"/>
      <c r="D29" s="22"/>
      <c r="E29" s="3"/>
      <c r="F29" s="3"/>
      <c r="G29" s="3"/>
    </row>
    <row r="30" spans="1:7" ht="15.75" x14ac:dyDescent="0.25">
      <c r="A30" s="221"/>
      <c r="B30" s="23"/>
      <c r="C30" s="21"/>
      <c r="D30" s="22"/>
      <c r="E30" s="3"/>
      <c r="F30" s="3"/>
      <c r="G30" s="3"/>
    </row>
    <row r="31" spans="1:7" ht="15.75" x14ac:dyDescent="0.25">
      <c r="A31" s="222" t="s">
        <v>251</v>
      </c>
      <c r="B31" s="23"/>
      <c r="C31" s="21"/>
      <c r="D31" s="22"/>
      <c r="E31" s="3"/>
      <c r="F31" s="3"/>
      <c r="G31" s="3"/>
    </row>
    <row r="32" spans="1:7" s="34" customFormat="1" ht="31.5" x14ac:dyDescent="0.25">
      <c r="A32" s="223" t="s">
        <v>252</v>
      </c>
      <c r="B32" s="208">
        <f>SUM(B33:B41)</f>
        <v>64920.800000000003</v>
      </c>
      <c r="C32" s="21"/>
      <c r="D32" s="22"/>
      <c r="E32" s="33">
        <f>(B86-B24-B26)/1.2/1.03</f>
        <v>181260.38255937275</v>
      </c>
      <c r="F32" s="33" t="e">
        <f>(#REF!-#REF!-#REF!)/1.2/1.03</f>
        <v>#REF!</v>
      </c>
      <c r="G32" s="33" t="e">
        <f>(#REF!-#REF!-#REF!)/1.2/1.03</f>
        <v>#REF!</v>
      </c>
    </row>
    <row r="33" spans="1:7" ht="15.75" x14ac:dyDescent="0.25">
      <c r="A33" s="224" t="s">
        <v>253</v>
      </c>
      <c r="B33" s="23">
        <f>45965*1.12</f>
        <v>51480.800000000003</v>
      </c>
      <c r="C33" s="21"/>
      <c r="D33" s="22">
        <v>45993.91</v>
      </c>
      <c r="E33" s="3"/>
      <c r="F33" s="3"/>
      <c r="G33" s="3"/>
    </row>
    <row r="34" spans="1:7" ht="15.75" x14ac:dyDescent="0.25">
      <c r="A34" s="225" t="s">
        <v>322</v>
      </c>
      <c r="B34" s="20">
        <f>12000*1.12</f>
        <v>13440.000000000002</v>
      </c>
      <c r="C34" s="21"/>
      <c r="D34" s="22">
        <v>0</v>
      </c>
      <c r="E34" s="3"/>
      <c r="F34" s="3"/>
      <c r="G34" s="3"/>
    </row>
    <row r="35" spans="1:7" ht="15.75" hidden="1" x14ac:dyDescent="0.25">
      <c r="A35" s="225" t="s">
        <v>256</v>
      </c>
      <c r="B35" s="20"/>
      <c r="C35" s="21"/>
      <c r="D35" s="22">
        <v>0</v>
      </c>
      <c r="E35" s="3"/>
      <c r="F35" s="3"/>
      <c r="G35" s="3"/>
    </row>
    <row r="36" spans="1:7" ht="15.75" hidden="1" x14ac:dyDescent="0.25">
      <c r="A36" s="224" t="s">
        <v>255</v>
      </c>
      <c r="B36" s="23"/>
      <c r="C36" s="21" t="s">
        <v>234</v>
      </c>
      <c r="D36" s="22">
        <v>0</v>
      </c>
      <c r="E36" s="3"/>
      <c r="F36" s="3"/>
      <c r="G36" s="3"/>
    </row>
    <row r="37" spans="1:7" ht="15.75" hidden="1" x14ac:dyDescent="0.25">
      <c r="A37" s="225" t="s">
        <v>257</v>
      </c>
      <c r="B37" s="20"/>
      <c r="C37" s="21"/>
      <c r="D37" s="22">
        <v>0</v>
      </c>
      <c r="E37" s="3"/>
      <c r="F37" s="3"/>
      <c r="G37" s="3"/>
    </row>
    <row r="38" spans="1:7" ht="15.75" hidden="1" x14ac:dyDescent="0.25">
      <c r="A38" s="224" t="s">
        <v>258</v>
      </c>
      <c r="B38" s="23"/>
      <c r="C38" s="21"/>
      <c r="D38" s="22">
        <v>0</v>
      </c>
      <c r="E38" s="3"/>
      <c r="F38" s="3"/>
      <c r="G38" s="3"/>
    </row>
    <row r="39" spans="1:7" ht="15.75" hidden="1" x14ac:dyDescent="0.25">
      <c r="A39" s="187" t="s">
        <v>259</v>
      </c>
      <c r="B39" s="20"/>
      <c r="C39" s="21"/>
      <c r="D39" s="22">
        <v>0</v>
      </c>
      <c r="E39" s="3"/>
      <c r="F39" s="3"/>
      <c r="G39" s="3"/>
    </row>
    <row r="40" spans="1:7" ht="15.75" hidden="1" x14ac:dyDescent="0.25">
      <c r="A40" s="187" t="s">
        <v>445</v>
      </c>
      <c r="B40" s="20"/>
      <c r="C40" s="21"/>
      <c r="D40" s="22"/>
      <c r="E40" s="3"/>
      <c r="F40" s="3"/>
      <c r="G40" s="3"/>
    </row>
    <row r="41" spans="1:7" ht="15.75" hidden="1" x14ac:dyDescent="0.25">
      <c r="A41" s="35" t="s">
        <v>400</v>
      </c>
      <c r="B41" s="23"/>
      <c r="C41" s="21"/>
      <c r="D41" s="22"/>
      <c r="E41" s="3"/>
      <c r="F41" s="3"/>
      <c r="G41" s="3"/>
    </row>
    <row r="42" spans="1:7" s="34" customFormat="1" ht="47.25" x14ac:dyDescent="0.25">
      <c r="A42" s="223" t="s">
        <v>401</v>
      </c>
      <c r="B42" s="208">
        <f>SUM(B43:B45)</f>
        <v>47611.521736838622</v>
      </c>
      <c r="C42" s="21"/>
      <c r="D42" s="22"/>
      <c r="E42" s="33"/>
      <c r="F42" s="33"/>
      <c r="G42" s="33"/>
    </row>
    <row r="43" spans="1:7" ht="15.75" x14ac:dyDescent="0.25">
      <c r="A43" s="35" t="s">
        <v>262</v>
      </c>
      <c r="B43" s="23">
        <f>21321</f>
        <v>21321</v>
      </c>
      <c r="C43" s="39"/>
      <c r="D43" s="40"/>
      <c r="E43" s="3"/>
      <c r="F43" s="3"/>
      <c r="G43" s="3"/>
    </row>
    <row r="44" spans="1:7" ht="15.75" x14ac:dyDescent="0.25">
      <c r="A44" s="35" t="s">
        <v>263</v>
      </c>
      <c r="B44" s="23">
        <v>12001</v>
      </c>
      <c r="C44" s="39"/>
      <c r="D44" s="40"/>
      <c r="E44" s="3"/>
      <c r="F44" s="3"/>
      <c r="G44" s="3"/>
    </row>
    <row r="45" spans="1:7" ht="15.75" x14ac:dyDescent="0.25">
      <c r="A45" s="226" t="s">
        <v>264</v>
      </c>
      <c r="B45" s="23">
        <f>'[6]32тарифы'!D163*B15+249.92*1.12</f>
        <v>14289.521736838624</v>
      </c>
      <c r="C45" s="39"/>
      <c r="D45" s="40"/>
      <c r="E45" s="3"/>
      <c r="F45" s="3"/>
      <c r="G45" s="3"/>
    </row>
    <row r="46" spans="1:7" s="8" customFormat="1" ht="15.75" x14ac:dyDescent="0.25">
      <c r="A46" s="223" t="s">
        <v>265</v>
      </c>
      <c r="B46" s="208">
        <f>SUM(B47:B65)</f>
        <v>107579.84999999999</v>
      </c>
      <c r="C46" s="21"/>
      <c r="D46" s="22"/>
    </row>
    <row r="47" spans="1:7" ht="15.75" x14ac:dyDescent="0.25">
      <c r="A47" s="224" t="s">
        <v>326</v>
      </c>
      <c r="B47" s="23">
        <v>2871.12</v>
      </c>
      <c r="C47" s="21"/>
      <c r="D47" s="22"/>
      <c r="E47" s="3" t="s">
        <v>267</v>
      </c>
      <c r="F47" s="3"/>
      <c r="G47" s="3"/>
    </row>
    <row r="48" spans="1:7" ht="15.75" x14ac:dyDescent="0.25">
      <c r="A48" s="224" t="s">
        <v>317</v>
      </c>
      <c r="B48" s="23">
        <v>3486</v>
      </c>
      <c r="C48" s="21"/>
      <c r="D48" s="22"/>
      <c r="E48" s="3" t="s">
        <v>269</v>
      </c>
      <c r="F48" s="3"/>
      <c r="G48" s="3"/>
    </row>
    <row r="49" spans="1:5" ht="15.75" hidden="1" x14ac:dyDescent="0.25">
      <c r="A49" s="143" t="s">
        <v>270</v>
      </c>
      <c r="B49" s="23"/>
      <c r="C49" s="21"/>
      <c r="D49" s="22"/>
      <c r="E49" s="3"/>
    </row>
    <row r="50" spans="1:5" ht="15.75" hidden="1" x14ac:dyDescent="0.25">
      <c r="A50" s="228" t="s">
        <v>446</v>
      </c>
      <c r="B50" s="20"/>
      <c r="C50" s="21"/>
      <c r="D50" s="22"/>
      <c r="E50" s="3"/>
    </row>
    <row r="51" spans="1:5" ht="17.25" customHeight="1" x14ac:dyDescent="0.25">
      <c r="A51" s="143" t="s">
        <v>541</v>
      </c>
      <c r="B51" s="23">
        <v>15912</v>
      </c>
      <c r="C51" s="21"/>
      <c r="D51" s="22"/>
      <c r="E51" s="3"/>
    </row>
    <row r="52" spans="1:5" ht="15.75" customHeight="1" x14ac:dyDescent="0.25">
      <c r="A52" s="143" t="s">
        <v>542</v>
      </c>
      <c r="B52" s="23">
        <v>4200</v>
      </c>
      <c r="C52" s="21"/>
      <c r="D52" s="22">
        <v>105.14</v>
      </c>
      <c r="E52" s="3"/>
    </row>
    <row r="53" spans="1:5" ht="15.75" x14ac:dyDescent="0.25">
      <c r="A53" s="228" t="s">
        <v>274</v>
      </c>
      <c r="B53" s="20">
        <v>31360</v>
      </c>
      <c r="C53" s="21">
        <v>1</v>
      </c>
      <c r="D53" s="22">
        <v>522.99</v>
      </c>
      <c r="E53" s="3"/>
    </row>
    <row r="54" spans="1:5" ht="15.75" x14ac:dyDescent="0.25">
      <c r="A54" s="188" t="s">
        <v>359</v>
      </c>
      <c r="B54" s="20">
        <v>8133.61</v>
      </c>
      <c r="C54" s="21">
        <v>1</v>
      </c>
      <c r="D54" s="44">
        <v>657.53</v>
      </c>
      <c r="E54" s="3"/>
    </row>
    <row r="55" spans="1:5" ht="15.75" hidden="1" x14ac:dyDescent="0.25">
      <c r="A55" s="143" t="s">
        <v>412</v>
      </c>
      <c r="B55" s="23"/>
      <c r="C55" s="21"/>
      <c r="D55" s="44"/>
      <c r="E55" s="3"/>
    </row>
    <row r="56" spans="1:5" ht="15.75" hidden="1" x14ac:dyDescent="0.25">
      <c r="A56" s="143" t="s">
        <v>277</v>
      </c>
      <c r="B56" s="23"/>
      <c r="C56" s="21">
        <v>0</v>
      </c>
      <c r="D56" s="22">
        <f>10695.76/1.18</f>
        <v>9064.203389830509</v>
      </c>
      <c r="E56" s="3"/>
    </row>
    <row r="57" spans="1:5" ht="15.75" hidden="1" x14ac:dyDescent="0.25">
      <c r="A57" s="143" t="s">
        <v>380</v>
      </c>
      <c r="B57" s="23"/>
      <c r="C57" s="21">
        <v>0</v>
      </c>
      <c r="D57" s="22">
        <f>2300/1.18</f>
        <v>1949.1525423728815</v>
      </c>
      <c r="E57" s="3"/>
    </row>
    <row r="58" spans="1:5" ht="15.75" hidden="1" x14ac:dyDescent="0.25">
      <c r="A58" s="228" t="s">
        <v>316</v>
      </c>
      <c r="B58" s="20"/>
      <c r="C58" s="21">
        <v>0</v>
      </c>
      <c r="D58" s="22">
        <v>0</v>
      </c>
      <c r="E58" s="227">
        <f>B80+B46-B59+593.53</f>
        <v>122185.49999999999</v>
      </c>
    </row>
    <row r="59" spans="1:5" ht="15.75" hidden="1" x14ac:dyDescent="0.25">
      <c r="A59" s="228" t="s">
        <v>279</v>
      </c>
      <c r="B59" s="20">
        <f>B13*'[6]32тарифы'!D184</f>
        <v>0</v>
      </c>
      <c r="C59" s="21"/>
      <c r="D59" s="22"/>
      <c r="E59" s="3"/>
    </row>
    <row r="60" spans="1:5" ht="15.75" hidden="1" x14ac:dyDescent="0.25">
      <c r="A60" s="187" t="s">
        <v>351</v>
      </c>
      <c r="B60" s="20"/>
      <c r="C60" s="21"/>
      <c r="D60" s="22"/>
      <c r="E60" s="3"/>
    </row>
    <row r="61" spans="1:5" ht="15.75" customHeight="1" x14ac:dyDescent="0.25">
      <c r="A61" s="187" t="s">
        <v>282</v>
      </c>
      <c r="B61" s="20">
        <f>53.36</f>
        <v>53.36</v>
      </c>
      <c r="C61" s="21"/>
      <c r="D61" s="22">
        <v>0</v>
      </c>
      <c r="E61" s="3"/>
    </row>
    <row r="62" spans="1:5" ht="15.75" customHeight="1" x14ac:dyDescent="0.25">
      <c r="A62" s="225" t="s">
        <v>545</v>
      </c>
      <c r="B62" s="20">
        <v>20953.84</v>
      </c>
      <c r="C62" s="21"/>
      <c r="D62" s="22">
        <v>0</v>
      </c>
      <c r="E62" s="3"/>
    </row>
    <row r="63" spans="1:5" ht="15.75" x14ac:dyDescent="0.25">
      <c r="A63" s="224" t="s">
        <v>341</v>
      </c>
      <c r="B63" s="229">
        <v>20609.919999999998</v>
      </c>
      <c r="C63" s="46">
        <v>1</v>
      </c>
      <c r="D63" s="22">
        <v>0</v>
      </c>
      <c r="E63" s="3"/>
    </row>
    <row r="64" spans="1:5" ht="15.75" hidden="1" x14ac:dyDescent="0.25">
      <c r="A64" s="187" t="s">
        <v>284</v>
      </c>
      <c r="B64" s="112"/>
      <c r="C64" s="46">
        <v>60</v>
      </c>
      <c r="D64" s="22">
        <v>2</v>
      </c>
      <c r="E64" s="3">
        <v>1</v>
      </c>
    </row>
    <row r="65" spans="1:4" ht="15.75" hidden="1" x14ac:dyDescent="0.25">
      <c r="A65" s="187" t="s">
        <v>285</v>
      </c>
      <c r="B65" s="112"/>
      <c r="C65" s="48">
        <v>60</v>
      </c>
      <c r="D65" s="40">
        <f>650/1.18</f>
        <v>550.84745762711873</v>
      </c>
    </row>
    <row r="66" spans="1:4" s="8" customFormat="1" ht="15.75" x14ac:dyDescent="0.25">
      <c r="A66" s="230" t="s">
        <v>286</v>
      </c>
      <c r="B66" s="208">
        <f>SUM(B67:B74)</f>
        <v>192767.67817502943</v>
      </c>
      <c r="C66" s="39"/>
      <c r="D66" s="40"/>
    </row>
    <row r="67" spans="1:4" ht="15.75" hidden="1" x14ac:dyDescent="0.25">
      <c r="A67" s="187" t="s">
        <v>287</v>
      </c>
      <c r="B67" s="20"/>
      <c r="C67" s="39"/>
      <c r="D67" s="40"/>
    </row>
    <row r="68" spans="1:4" ht="15.75" x14ac:dyDescent="0.25">
      <c r="A68" s="224" t="s">
        <v>288</v>
      </c>
      <c r="B68" s="232">
        <f>78011*1.04*1.12</f>
        <v>90867.212800000008</v>
      </c>
      <c r="C68" s="39"/>
      <c r="D68" s="40"/>
    </row>
    <row r="69" spans="1:4" ht="15.75" hidden="1" x14ac:dyDescent="0.25">
      <c r="A69" s="187" t="s">
        <v>289</v>
      </c>
      <c r="B69" s="20"/>
      <c r="C69" s="39"/>
      <c r="D69" s="40"/>
    </row>
    <row r="70" spans="1:4" ht="15.75" x14ac:dyDescent="0.25">
      <c r="A70" s="226" t="s">
        <v>290</v>
      </c>
      <c r="B70" s="23">
        <f>'[6]32тарифы'!D164*B13*1.12</f>
        <v>3260.5304368760085</v>
      </c>
      <c r="C70" s="39"/>
      <c r="D70" s="40"/>
    </row>
    <row r="71" spans="1:4" ht="15.75" x14ac:dyDescent="0.25">
      <c r="A71" s="226" t="s">
        <v>291</v>
      </c>
      <c r="B71" s="23">
        <f>'[6]32тарифы'!D165*B15*1.12</f>
        <v>16886.830740073594</v>
      </c>
      <c r="C71" s="39"/>
      <c r="D71" s="40"/>
    </row>
    <row r="72" spans="1:4" ht="15.75" x14ac:dyDescent="0.25">
      <c r="A72" s="226" t="s">
        <v>292</v>
      </c>
      <c r="B72" s="23">
        <f>1.04*26969.5638970616*1.12</f>
        <v>31414.148027297357</v>
      </c>
      <c r="C72" s="39"/>
      <c r="D72" s="40"/>
    </row>
    <row r="73" spans="1:4" ht="15.75" x14ac:dyDescent="0.25">
      <c r="A73" s="226" t="s">
        <v>293</v>
      </c>
      <c r="B73" s="23">
        <f>1.04*4576.26030443624*1.12</f>
        <v>5330.4280026073338</v>
      </c>
      <c r="C73" s="39"/>
      <c r="D73" s="40"/>
    </row>
    <row r="74" spans="1:4" ht="15.75" x14ac:dyDescent="0.25">
      <c r="A74" s="226" t="s">
        <v>294</v>
      </c>
      <c r="B74" s="23">
        <f>1.04*38640.5633311943*1.12</f>
        <v>45008.528168175129</v>
      </c>
      <c r="C74" s="39"/>
      <c r="D74" s="40"/>
    </row>
    <row r="75" spans="1:4" ht="63" x14ac:dyDescent="0.25">
      <c r="A75" s="233" t="s">
        <v>295</v>
      </c>
      <c r="B75" s="208">
        <f>SUM(B76:B76)</f>
        <v>89600.000000000015</v>
      </c>
      <c r="C75" s="39"/>
      <c r="D75" s="40"/>
    </row>
    <row r="76" spans="1:4" ht="15.75" x14ac:dyDescent="0.25">
      <c r="A76" s="226" t="s">
        <v>296</v>
      </c>
      <c r="B76" s="23">
        <f>80000*1.12</f>
        <v>89600.000000000015</v>
      </c>
      <c r="C76" s="39"/>
      <c r="D76" s="40"/>
    </row>
    <row r="77" spans="1:4" s="8" customFormat="1" ht="15.75" x14ac:dyDescent="0.25">
      <c r="A77" s="230" t="s">
        <v>297</v>
      </c>
      <c r="B77" s="208">
        <f>SUM(B78:B81)</f>
        <v>83544.707404786372</v>
      </c>
      <c r="C77" s="39"/>
      <c r="D77" s="40"/>
    </row>
    <row r="78" spans="1:4" ht="15.75" x14ac:dyDescent="0.25">
      <c r="A78" s="234" t="s">
        <v>298</v>
      </c>
      <c r="B78" s="23">
        <f>'[6]32тарифы'!D170*B15*1.12</f>
        <v>63728.020545612671</v>
      </c>
      <c r="C78" s="39"/>
      <c r="D78" s="40"/>
    </row>
    <row r="79" spans="1:4" ht="15.75" hidden="1" x14ac:dyDescent="0.25">
      <c r="A79" s="234" t="s">
        <v>299</v>
      </c>
      <c r="B79" s="232">
        <f>(B26/1.2)*30%</f>
        <v>0</v>
      </c>
      <c r="C79" s="39"/>
      <c r="D79" s="40"/>
    </row>
    <row r="80" spans="1:4" ht="15.75" x14ac:dyDescent="0.25">
      <c r="A80" s="235" t="s">
        <v>300</v>
      </c>
      <c r="B80" s="23">
        <f>8146.4+5865.72</f>
        <v>14012.119999999999</v>
      </c>
      <c r="C80" s="39"/>
      <c r="D80" s="40"/>
    </row>
    <row r="81" spans="1:4" ht="15.75" x14ac:dyDescent="0.25">
      <c r="A81" s="235" t="s">
        <v>301</v>
      </c>
      <c r="B81" s="23">
        <f>'[6]32тарифы'!D173*B13*1.12</f>
        <v>5804.5668591737003</v>
      </c>
      <c r="C81" s="39"/>
      <c r="D81" s="40"/>
    </row>
    <row r="82" spans="1:4" ht="15.75" x14ac:dyDescent="0.25">
      <c r="A82" s="236" t="s">
        <v>302</v>
      </c>
      <c r="B82" s="28">
        <f>B32+B42+B46+B66+B75+B77</f>
        <v>586024.55731665436</v>
      </c>
      <c r="C82" s="39"/>
      <c r="D82" s="40"/>
    </row>
    <row r="83" spans="1:4" ht="15.75" x14ac:dyDescent="0.25">
      <c r="A83" s="237" t="s">
        <v>303</v>
      </c>
      <c r="B83" s="23">
        <f>B82*0.03</f>
        <v>17580.73671949963</v>
      </c>
      <c r="C83" s="39"/>
      <c r="D83" s="40"/>
    </row>
    <row r="84" spans="1:4" s="34" customFormat="1" ht="15.75" x14ac:dyDescent="0.25">
      <c r="A84" s="238" t="s">
        <v>304</v>
      </c>
      <c r="B84" s="208">
        <f>B82+B83</f>
        <v>603605.29403615394</v>
      </c>
      <c r="C84" s="39"/>
      <c r="D84" s="40"/>
    </row>
    <row r="85" spans="1:4" ht="16.5" thickBot="1" x14ac:dyDescent="0.3">
      <c r="A85" s="239" t="s">
        <v>305</v>
      </c>
      <c r="B85" s="240">
        <f>B84*0.2</f>
        <v>120721.05880723079</v>
      </c>
      <c r="C85" s="39"/>
      <c r="D85" s="40"/>
    </row>
    <row r="86" spans="1:4" s="8" customFormat="1" ht="16.5" thickBot="1" x14ac:dyDescent="0.3">
      <c r="A86" s="58" t="s">
        <v>306</v>
      </c>
      <c r="B86" s="66">
        <f>B84+B85</f>
        <v>724326.35284338472</v>
      </c>
      <c r="C86" s="60"/>
      <c r="D86" s="61"/>
    </row>
    <row r="87" spans="1:4" s="8" customFormat="1" ht="16.5" thickBot="1" x14ac:dyDescent="0.3">
      <c r="A87" s="62" t="s">
        <v>307</v>
      </c>
      <c r="B87" s="296">
        <f>B10+B24+B26+B28+B29-B86</f>
        <v>-1123752.9328433848</v>
      </c>
      <c r="C87" s="63"/>
      <c r="D87" s="63"/>
    </row>
    <row r="88" spans="1:4" s="8" customFormat="1" ht="16.5" thickBot="1" x14ac:dyDescent="0.3">
      <c r="A88" s="64" t="s">
        <v>308</v>
      </c>
      <c r="B88" s="66">
        <f>B10+B25+B27+B28+B29-B86</f>
        <v>-1127395.6828433848</v>
      </c>
      <c r="C88" s="63"/>
      <c r="D88" s="63"/>
    </row>
    <row r="89" spans="1:4" s="8" customFormat="1" ht="16.5" hidden="1" thickBot="1" x14ac:dyDescent="0.3">
      <c r="A89" s="241" t="s">
        <v>309</v>
      </c>
      <c r="B89" s="66">
        <f>B11+B24-B25</f>
        <v>3642.75</v>
      </c>
      <c r="C89" s="63"/>
      <c r="D89" s="63"/>
    </row>
    <row r="90" spans="1:4" ht="15.75" x14ac:dyDescent="0.25">
      <c r="A90" s="3"/>
      <c r="B90" s="227"/>
      <c r="C90" s="3"/>
      <c r="D90" s="3"/>
    </row>
    <row r="91" spans="1:4" ht="10.5" customHeight="1" x14ac:dyDescent="0.25">
      <c r="A91" s="69"/>
      <c r="B91" s="3"/>
      <c r="C91" s="3"/>
      <c r="D91" s="3"/>
    </row>
    <row r="92" spans="1:4" ht="15.75" x14ac:dyDescent="0.25">
      <c r="A92" s="333" t="s">
        <v>407</v>
      </c>
      <c r="B92" s="333"/>
      <c r="C92" s="3"/>
      <c r="D92" s="3"/>
    </row>
    <row r="93" spans="1:4" ht="15.75" x14ac:dyDescent="0.25">
      <c r="A93" s="69"/>
      <c r="B93" s="3"/>
      <c r="C93" s="3"/>
      <c r="D93" s="3"/>
    </row>
    <row r="94" spans="1:4" ht="15.75" hidden="1" x14ac:dyDescent="0.25">
      <c r="A94" s="342" t="s">
        <v>408</v>
      </c>
      <c r="B94" s="342"/>
      <c r="C94" s="72"/>
      <c r="D94" s="3"/>
    </row>
    <row r="95" spans="1:4" ht="15.75" x14ac:dyDescent="0.25">
      <c r="A95" s="3"/>
      <c r="B95" s="3"/>
      <c r="C95" s="3"/>
      <c r="D95" s="3"/>
    </row>
  </sheetData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78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pageSetUpPr fitToPage="1"/>
  </sheetPr>
  <dimension ref="A1:G95"/>
  <sheetViews>
    <sheetView view="pageBreakPreview" topLeftCell="A42" zoomScale="75" zoomScaleNormal="100" zoomScaleSheetLayoutView="75" workbookViewId="0">
      <selection activeCell="B81" sqref="B81"/>
    </sheetView>
  </sheetViews>
  <sheetFormatPr defaultRowHeight="12.75" x14ac:dyDescent="0.2"/>
  <cols>
    <col min="1" max="1" width="96.42578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13" t="s">
        <v>224</v>
      </c>
      <c r="B1" s="313"/>
      <c r="C1" s="3"/>
      <c r="D1" s="3"/>
    </row>
    <row r="2" spans="1:4" ht="16.5" x14ac:dyDescent="0.25">
      <c r="A2" s="315" t="s">
        <v>225</v>
      </c>
      <c r="B2" s="315"/>
      <c r="C2" s="3"/>
      <c r="D2" s="3"/>
    </row>
    <row r="3" spans="1:4" ht="16.5" x14ac:dyDescent="0.25">
      <c r="A3" s="315" t="s">
        <v>226</v>
      </c>
      <c r="B3" s="315"/>
      <c r="C3" s="3"/>
      <c r="D3" s="3"/>
    </row>
    <row r="4" spans="1:4" ht="15.75" x14ac:dyDescent="0.25">
      <c r="A4" s="4" t="s">
        <v>516</v>
      </c>
      <c r="B4" s="4"/>
      <c r="C4" s="3"/>
      <c r="D4" s="3"/>
    </row>
    <row r="5" spans="1:4" ht="15.75" x14ac:dyDescent="0.25">
      <c r="A5" s="4" t="s">
        <v>91</v>
      </c>
      <c r="B5" s="4"/>
      <c r="C5" s="3"/>
      <c r="D5" s="3"/>
    </row>
    <row r="6" spans="1:4" ht="5.25" customHeight="1" x14ac:dyDescent="0.25">
      <c r="A6" s="4"/>
      <c r="B6" s="8"/>
      <c r="C6" s="8"/>
      <c r="D6" s="3"/>
    </row>
    <row r="7" spans="1:4" ht="16.5" thickBot="1" x14ac:dyDescent="0.3">
      <c r="A7" s="9"/>
      <c r="B7" s="8"/>
      <c r="C7" s="8"/>
      <c r="D7" s="3"/>
    </row>
    <row r="8" spans="1:4" ht="15.75" customHeight="1" x14ac:dyDescent="0.2">
      <c r="A8" s="335" t="s">
        <v>227</v>
      </c>
      <c r="B8" s="337" t="s">
        <v>228</v>
      </c>
      <c r="C8" s="307" t="s">
        <v>229</v>
      </c>
      <c r="D8" s="307" t="s">
        <v>230</v>
      </c>
    </row>
    <row r="9" spans="1:4" ht="28.5" customHeight="1" thickBot="1" x14ac:dyDescent="0.25">
      <c r="A9" s="336"/>
      <c r="B9" s="338"/>
      <c r="C9" s="308"/>
      <c r="D9" s="308"/>
    </row>
    <row r="10" spans="1:4" s="212" customFormat="1" ht="16.5" thickBot="1" x14ac:dyDescent="0.3">
      <c r="A10" s="209" t="s">
        <v>231</v>
      </c>
      <c r="B10" s="302">
        <f>VLOOKUP(A5,мкд!S:T,2,FALSE)</f>
        <v>-560746.04</v>
      </c>
      <c r="C10" s="211"/>
      <c r="D10" s="211"/>
    </row>
    <row r="11" spans="1:4" s="212" customFormat="1" ht="16.5" hidden="1" thickBot="1" x14ac:dyDescent="0.3">
      <c r="A11" s="213" t="s">
        <v>232</v>
      </c>
      <c r="B11" s="214"/>
      <c r="C11" s="215"/>
      <c r="D11" s="215"/>
    </row>
    <row r="12" spans="1:4" ht="15.75" x14ac:dyDescent="0.25">
      <c r="A12" s="216" t="s">
        <v>233</v>
      </c>
      <c r="B12" s="217"/>
      <c r="C12" s="17" t="s">
        <v>234</v>
      </c>
      <c r="D12" s="18" t="s">
        <v>234</v>
      </c>
    </row>
    <row r="13" spans="1:4" ht="15.75" hidden="1" x14ac:dyDescent="0.25">
      <c r="A13" s="182" t="s">
        <v>235</v>
      </c>
      <c r="B13" s="20">
        <v>4480.2</v>
      </c>
      <c r="C13" s="21" t="s">
        <v>234</v>
      </c>
      <c r="D13" s="22" t="s">
        <v>234</v>
      </c>
    </row>
    <row r="14" spans="1:4" ht="15.75" hidden="1" x14ac:dyDescent="0.25">
      <c r="A14" s="182" t="s">
        <v>236</v>
      </c>
      <c r="B14" s="20">
        <v>0</v>
      </c>
      <c r="C14" s="21"/>
      <c r="D14" s="22"/>
    </row>
    <row r="15" spans="1:4" ht="15.75" x14ac:dyDescent="0.25">
      <c r="A15" s="219" t="s">
        <v>237</v>
      </c>
      <c r="B15" s="23">
        <f>B13+B14</f>
        <v>4480.2</v>
      </c>
      <c r="C15" s="21"/>
      <c r="D15" s="22"/>
    </row>
    <row r="16" spans="1:4" ht="15.75" x14ac:dyDescent="0.25">
      <c r="A16" s="219" t="s">
        <v>238</v>
      </c>
      <c r="B16" s="23">
        <f>1141.7+2322.03/3</f>
        <v>1915.71</v>
      </c>
      <c r="C16" s="21" t="s">
        <v>234</v>
      </c>
      <c r="D16" s="22" t="s">
        <v>234</v>
      </c>
    </row>
    <row r="17" spans="1:7" ht="15.75" hidden="1" x14ac:dyDescent="0.25">
      <c r="A17" s="182" t="s">
        <v>239</v>
      </c>
      <c r="B17" s="20">
        <v>0</v>
      </c>
      <c r="C17" s="21" t="s">
        <v>234</v>
      </c>
      <c r="D17" s="22" t="s">
        <v>234</v>
      </c>
      <c r="E17" s="3"/>
      <c r="F17" s="3"/>
      <c r="G17" s="3"/>
    </row>
    <row r="18" spans="1:7" ht="15.75" hidden="1" x14ac:dyDescent="0.25">
      <c r="A18" s="182" t="s">
        <v>240</v>
      </c>
      <c r="B18" s="20">
        <v>1110.9000000000001</v>
      </c>
      <c r="C18" s="21" t="s">
        <v>234</v>
      </c>
      <c r="D18" s="22" t="s">
        <v>234</v>
      </c>
      <c r="E18" s="3"/>
      <c r="F18" s="3"/>
      <c r="G18" s="3"/>
    </row>
    <row r="19" spans="1:7" ht="15.75" hidden="1" x14ac:dyDescent="0.25">
      <c r="A19" s="182" t="s">
        <v>241</v>
      </c>
      <c r="B19" s="20">
        <v>0</v>
      </c>
      <c r="C19" s="21" t="s">
        <v>234</v>
      </c>
      <c r="D19" s="22" t="s">
        <v>234</v>
      </c>
      <c r="E19" s="3"/>
      <c r="F19" s="3"/>
      <c r="G19" s="3"/>
    </row>
    <row r="20" spans="1:7" ht="15.75" hidden="1" x14ac:dyDescent="0.25">
      <c r="A20" s="182" t="s">
        <v>242</v>
      </c>
      <c r="B20" s="20">
        <v>1122</v>
      </c>
      <c r="C20" s="21"/>
      <c r="D20" s="22"/>
      <c r="E20" s="3"/>
      <c r="F20" s="3"/>
      <c r="G20" s="3"/>
    </row>
    <row r="21" spans="1:7" ht="15.75" hidden="1" x14ac:dyDescent="0.25">
      <c r="A21" s="182" t="s">
        <v>243</v>
      </c>
      <c r="B21" s="20">
        <v>0</v>
      </c>
      <c r="C21" s="21" t="s">
        <v>234</v>
      </c>
      <c r="D21" s="22" t="s">
        <v>234</v>
      </c>
      <c r="E21" s="3"/>
      <c r="F21" s="3"/>
      <c r="G21" s="3"/>
    </row>
    <row r="22" spans="1:7" ht="15.75" hidden="1" x14ac:dyDescent="0.25">
      <c r="A22" s="182" t="s">
        <v>244</v>
      </c>
      <c r="B22" s="20">
        <v>241</v>
      </c>
      <c r="C22" s="21"/>
      <c r="D22" s="22"/>
      <c r="E22" s="3"/>
      <c r="F22" s="3"/>
      <c r="G22" s="3"/>
    </row>
    <row r="23" spans="1:7" ht="15.75" x14ac:dyDescent="0.25">
      <c r="A23" s="219"/>
      <c r="B23" s="23"/>
      <c r="C23" s="21"/>
      <c r="D23" s="22"/>
      <c r="E23" s="3"/>
      <c r="F23" s="3"/>
      <c r="G23" s="3"/>
    </row>
    <row r="24" spans="1:7" ht="15.75" x14ac:dyDescent="0.25">
      <c r="A24" s="220" t="s">
        <v>319</v>
      </c>
      <c r="B24" s="28">
        <f>VLOOKUP(A5,'[5]Лист  1'!M$1:N$65536,2,FALSE)</f>
        <v>848819.4</v>
      </c>
      <c r="C24" s="21"/>
      <c r="D24" s="22"/>
      <c r="E24" s="256">
        <v>15.48</v>
      </c>
      <c r="F24" s="3"/>
      <c r="G24" s="3"/>
    </row>
    <row r="25" spans="1:7" ht="15.75" x14ac:dyDescent="0.25">
      <c r="A25" s="220" t="s">
        <v>320</v>
      </c>
      <c r="B25" s="28">
        <f>VLOOKUP(A5,'[5]Лист  1'!M$1:O$65536,3,FALSE)</f>
        <v>854618.03</v>
      </c>
      <c r="C25" s="21"/>
      <c r="D25" s="22"/>
      <c r="E25" s="3"/>
      <c r="F25" s="3"/>
      <c r="G25" s="3"/>
    </row>
    <row r="26" spans="1:7" ht="15.75" hidden="1" x14ac:dyDescent="0.25">
      <c r="A26" s="220" t="s">
        <v>353</v>
      </c>
      <c r="B26" s="28"/>
      <c r="C26" s="21"/>
      <c r="D26" s="22"/>
      <c r="E26" s="3"/>
      <c r="F26" s="3"/>
      <c r="G26" s="3"/>
    </row>
    <row r="27" spans="1:7" ht="15.75" hidden="1" x14ac:dyDescent="0.25">
      <c r="A27" s="220" t="s">
        <v>354</v>
      </c>
      <c r="B27" s="28"/>
      <c r="C27" s="21"/>
      <c r="D27" s="22"/>
      <c r="E27" s="3"/>
      <c r="F27" s="3"/>
      <c r="G27" s="3"/>
    </row>
    <row r="28" spans="1:7" ht="15.75" x14ac:dyDescent="0.25">
      <c r="A28" s="220" t="s">
        <v>399</v>
      </c>
      <c r="B28" s="28">
        <v>9289.92</v>
      </c>
      <c r="C28" s="21"/>
      <c r="D28" s="22"/>
      <c r="E28" s="3"/>
      <c r="F28" s="3"/>
      <c r="G28" s="3"/>
    </row>
    <row r="29" spans="1:7" ht="15.75" hidden="1" x14ac:dyDescent="0.25">
      <c r="A29" s="220" t="s">
        <v>250</v>
      </c>
      <c r="B29" s="23"/>
      <c r="C29" s="21"/>
      <c r="D29" s="22"/>
      <c r="E29" s="3"/>
      <c r="F29" s="3"/>
      <c r="G29" s="3"/>
    </row>
    <row r="30" spans="1:7" ht="21" customHeight="1" x14ac:dyDescent="0.25">
      <c r="A30" s="221"/>
      <c r="B30" s="23"/>
      <c r="C30" s="21"/>
      <c r="D30" s="22"/>
      <c r="E30" s="3"/>
      <c r="F30" s="3"/>
      <c r="G30" s="3"/>
    </row>
    <row r="31" spans="1:7" ht="15.75" x14ac:dyDescent="0.25">
      <c r="A31" s="222" t="s">
        <v>251</v>
      </c>
      <c r="B31" s="23"/>
      <c r="C31" s="21"/>
      <c r="D31" s="22"/>
      <c r="E31" s="3"/>
      <c r="F31" s="3"/>
      <c r="G31" s="3"/>
    </row>
    <row r="32" spans="1:7" s="34" customFormat="1" ht="31.5" x14ac:dyDescent="0.25">
      <c r="A32" s="223" t="s">
        <v>252</v>
      </c>
      <c r="B32" s="208">
        <f>SUM(B33:B41)</f>
        <v>150548.34</v>
      </c>
      <c r="C32" s="21"/>
      <c r="D32" s="22"/>
      <c r="E32" s="33">
        <f>(B86-B24-B26)/1.2/1.03</f>
        <v>207569.30319415632</v>
      </c>
      <c r="F32" s="33" t="e">
        <f>(#REF!-#REF!-#REF!)/1.2/1.03</f>
        <v>#REF!</v>
      </c>
      <c r="G32" s="33" t="e">
        <f>(#REF!-#REF!-#REF!)/1.2/1.03</f>
        <v>#REF!</v>
      </c>
    </row>
    <row r="33" spans="1:7" ht="15.75" x14ac:dyDescent="0.25">
      <c r="A33" s="224" t="s">
        <v>253</v>
      </c>
      <c r="B33" s="23">
        <v>83536.179999999993</v>
      </c>
      <c r="C33" s="21"/>
      <c r="D33" s="22">
        <v>56509.19</v>
      </c>
      <c r="E33" s="3"/>
      <c r="F33" s="3"/>
      <c r="G33" s="3"/>
    </row>
    <row r="34" spans="1:7" ht="15.75" x14ac:dyDescent="0.25">
      <c r="A34" s="225" t="s">
        <v>322</v>
      </c>
      <c r="B34" s="20">
        <v>32001.55</v>
      </c>
      <c r="C34" s="21"/>
      <c r="D34" s="22">
        <v>0</v>
      </c>
      <c r="E34" s="3"/>
      <c r="F34" s="3"/>
      <c r="G34" s="3"/>
    </row>
    <row r="35" spans="1:7" ht="15.75" hidden="1" x14ac:dyDescent="0.25">
      <c r="A35" s="225" t="s">
        <v>256</v>
      </c>
      <c r="B35" s="20"/>
      <c r="C35" s="21"/>
      <c r="D35" s="22">
        <v>0</v>
      </c>
      <c r="E35" s="3"/>
      <c r="F35" s="3"/>
      <c r="G35" s="3"/>
    </row>
    <row r="36" spans="1:7" ht="15.75" x14ac:dyDescent="0.25">
      <c r="A36" s="224" t="s">
        <v>255</v>
      </c>
      <c r="B36" s="23">
        <v>35010.61</v>
      </c>
      <c r="C36" s="21" t="s">
        <v>234</v>
      </c>
      <c r="D36" s="22">
        <v>0</v>
      </c>
      <c r="E36" s="3"/>
      <c r="F36" s="3"/>
      <c r="G36" s="3"/>
    </row>
    <row r="37" spans="1:7" ht="15.75" hidden="1" x14ac:dyDescent="0.25">
      <c r="A37" s="225" t="s">
        <v>343</v>
      </c>
      <c r="B37" s="20"/>
      <c r="C37" s="21"/>
      <c r="D37" s="22">
        <v>0</v>
      </c>
      <c r="E37" s="3"/>
      <c r="F37" s="3"/>
      <c r="G37" s="3"/>
    </row>
    <row r="38" spans="1:7" ht="15.75" hidden="1" x14ac:dyDescent="0.25">
      <c r="A38" s="224" t="s">
        <v>258</v>
      </c>
      <c r="B38" s="23"/>
      <c r="C38" s="21"/>
      <c r="D38" s="22">
        <v>0</v>
      </c>
      <c r="E38" s="3"/>
      <c r="F38" s="3"/>
      <c r="G38" s="3"/>
    </row>
    <row r="39" spans="1:7" ht="15.75" hidden="1" x14ac:dyDescent="0.25">
      <c r="A39" s="187" t="s">
        <v>259</v>
      </c>
      <c r="B39" s="20"/>
      <c r="C39" s="21"/>
      <c r="D39" s="22">
        <v>0</v>
      </c>
      <c r="E39" s="3"/>
      <c r="F39" s="3"/>
      <c r="G39" s="3"/>
    </row>
    <row r="40" spans="1:7" ht="15.75" hidden="1" x14ac:dyDescent="0.25">
      <c r="A40" s="187" t="s">
        <v>339</v>
      </c>
      <c r="B40" s="20"/>
      <c r="C40" s="21"/>
      <c r="D40" s="22"/>
      <c r="E40" s="3"/>
      <c r="F40" s="3"/>
      <c r="G40" s="3"/>
    </row>
    <row r="41" spans="1:7" ht="15.75" hidden="1" x14ac:dyDescent="0.25">
      <c r="A41" s="35" t="s">
        <v>400</v>
      </c>
      <c r="B41" s="23"/>
      <c r="C41" s="21"/>
      <c r="D41" s="22"/>
      <c r="E41" s="3"/>
      <c r="F41" s="3"/>
      <c r="G41" s="3"/>
    </row>
    <row r="42" spans="1:7" s="34" customFormat="1" ht="47.25" x14ac:dyDescent="0.25">
      <c r="A42" s="223" t="s">
        <v>401</v>
      </c>
      <c r="B42" s="208">
        <f>SUM(B43:B45)</f>
        <v>116762.48388050956</v>
      </c>
      <c r="C42" s="21"/>
      <c r="D42" s="22"/>
      <c r="E42" s="33"/>
      <c r="F42" s="33"/>
      <c r="G42" s="33"/>
    </row>
    <row r="43" spans="1:7" ht="15.75" x14ac:dyDescent="0.25">
      <c r="A43" s="35" t="s">
        <v>262</v>
      </c>
      <c r="B43" s="23">
        <v>83855.039999999994</v>
      </c>
      <c r="C43" s="39"/>
      <c r="D43" s="40"/>
      <c r="E43" s="3"/>
      <c r="F43" s="3"/>
      <c r="G43" s="3"/>
    </row>
    <row r="44" spans="1:7" ht="15.75" x14ac:dyDescent="0.25">
      <c r="A44" s="35" t="s">
        <v>263</v>
      </c>
      <c r="B44" s="23">
        <v>0</v>
      </c>
      <c r="C44" s="39"/>
      <c r="D44" s="40"/>
      <c r="E44" s="3"/>
      <c r="F44" s="3"/>
      <c r="G44" s="3"/>
    </row>
    <row r="45" spans="1:7" ht="15.75" x14ac:dyDescent="0.25">
      <c r="A45" s="226" t="s">
        <v>264</v>
      </c>
      <c r="B45" s="23">
        <f>1.04*28251.5830018111*1.12</f>
        <v>32907.443880509571</v>
      </c>
      <c r="C45" s="39"/>
      <c r="D45" s="40"/>
      <c r="E45" s="3"/>
      <c r="F45" s="3"/>
      <c r="G45" s="3"/>
    </row>
    <row r="46" spans="1:7" s="8" customFormat="1" ht="15.75" x14ac:dyDescent="0.25">
      <c r="A46" s="223" t="s">
        <v>265</v>
      </c>
      <c r="B46" s="208">
        <f>SUM(B47:B65)</f>
        <v>77237.680000000008</v>
      </c>
      <c r="C46" s="21"/>
      <c r="D46" s="22"/>
    </row>
    <row r="47" spans="1:7" ht="15.75" x14ac:dyDescent="0.25">
      <c r="A47" s="224" t="s">
        <v>326</v>
      </c>
      <c r="B47" s="23">
        <v>4665.84</v>
      </c>
      <c r="C47" s="21"/>
      <c r="D47" s="22"/>
      <c r="E47" s="3" t="s">
        <v>267</v>
      </c>
      <c r="F47" s="3"/>
      <c r="G47" s="3"/>
    </row>
    <row r="48" spans="1:7" ht="15.75" x14ac:dyDescent="0.25">
      <c r="A48" s="224" t="s">
        <v>317</v>
      </c>
      <c r="B48" s="23">
        <v>5665.56</v>
      </c>
      <c r="C48" s="21"/>
      <c r="D48" s="22"/>
      <c r="E48" s="3" t="s">
        <v>269</v>
      </c>
      <c r="F48" s="3"/>
      <c r="G48" s="3"/>
    </row>
    <row r="49" spans="1:5" ht="15.75" hidden="1" x14ac:dyDescent="0.25">
      <c r="A49" s="143" t="s">
        <v>270</v>
      </c>
      <c r="B49" s="23"/>
      <c r="C49" s="21"/>
      <c r="D49" s="22"/>
      <c r="E49" s="3"/>
    </row>
    <row r="50" spans="1:5" ht="15.75" hidden="1" x14ac:dyDescent="0.25">
      <c r="A50" s="228" t="s">
        <v>380</v>
      </c>
      <c r="B50" s="20"/>
      <c r="C50" s="21"/>
      <c r="D50" s="22"/>
      <c r="E50" s="3"/>
    </row>
    <row r="51" spans="1:5" ht="15.75" hidden="1" x14ac:dyDescent="0.25">
      <c r="A51" s="143" t="s">
        <v>316</v>
      </c>
      <c r="B51" s="23"/>
      <c r="C51" s="21"/>
      <c r="D51" s="22"/>
      <c r="E51" s="3"/>
    </row>
    <row r="52" spans="1:5" ht="15.75" hidden="1" x14ac:dyDescent="0.25">
      <c r="A52" s="143" t="s">
        <v>316</v>
      </c>
      <c r="B52" s="23">
        <f>B21*'[6]32тарифы'!D177</f>
        <v>0</v>
      </c>
      <c r="C52" s="21"/>
      <c r="D52" s="22">
        <v>105.14</v>
      </c>
      <c r="E52" s="3"/>
    </row>
    <row r="53" spans="1:5" ht="15.75" hidden="1" x14ac:dyDescent="0.25">
      <c r="A53" s="228" t="s">
        <v>274</v>
      </c>
      <c r="B53" s="20"/>
      <c r="C53" s="21">
        <v>0</v>
      </c>
      <c r="D53" s="22">
        <v>522.99</v>
      </c>
      <c r="E53" s="3"/>
    </row>
    <row r="54" spans="1:5" ht="15.75" x14ac:dyDescent="0.25">
      <c r="A54" s="188" t="s">
        <v>275</v>
      </c>
      <c r="B54" s="20">
        <v>8133.61</v>
      </c>
      <c r="C54" s="21">
        <v>1</v>
      </c>
      <c r="D54" s="44">
        <v>695.13</v>
      </c>
      <c r="E54" s="3"/>
    </row>
    <row r="55" spans="1:5" ht="15.75" x14ac:dyDescent="0.25">
      <c r="A55" s="143" t="s">
        <v>542</v>
      </c>
      <c r="B55" s="23">
        <v>4200</v>
      </c>
      <c r="C55" s="21"/>
      <c r="D55" s="44"/>
      <c r="E55" s="3"/>
    </row>
    <row r="56" spans="1:5" ht="15.75" hidden="1" x14ac:dyDescent="0.25">
      <c r="A56" s="143" t="s">
        <v>277</v>
      </c>
      <c r="B56" s="23"/>
      <c r="C56" s="21">
        <v>0</v>
      </c>
      <c r="D56" s="22">
        <f>10695.76/1.18</f>
        <v>9064.203389830509</v>
      </c>
      <c r="E56" s="3"/>
    </row>
    <row r="57" spans="1:5" ht="15.75" hidden="1" x14ac:dyDescent="0.25">
      <c r="A57" s="143" t="s">
        <v>348</v>
      </c>
      <c r="B57" s="23"/>
      <c r="C57" s="21">
        <v>0</v>
      </c>
      <c r="D57" s="22">
        <f>2300/1.18</f>
        <v>1949.1525423728815</v>
      </c>
      <c r="E57" s="3"/>
    </row>
    <row r="58" spans="1:5" ht="15.75" hidden="1" x14ac:dyDescent="0.25">
      <c r="A58" s="228" t="s">
        <v>315</v>
      </c>
      <c r="B58" s="20"/>
      <c r="C58" s="21">
        <v>0</v>
      </c>
      <c r="D58" s="22">
        <v>0</v>
      </c>
      <c r="E58" s="3"/>
    </row>
    <row r="59" spans="1:5" ht="15.75" x14ac:dyDescent="0.25">
      <c r="A59" s="228" t="s">
        <v>540</v>
      </c>
      <c r="B59" s="20">
        <v>19506.939999999999</v>
      </c>
      <c r="C59" s="21"/>
      <c r="D59" s="22"/>
      <c r="E59" s="3"/>
    </row>
    <row r="60" spans="1:5" ht="15.75" hidden="1" x14ac:dyDescent="0.25">
      <c r="A60" s="187" t="s">
        <v>351</v>
      </c>
      <c r="B60" s="20"/>
      <c r="C60" s="21"/>
      <c r="D60" s="22"/>
      <c r="E60" s="227">
        <f>B80+B46-B59+621.82</f>
        <v>80450.850000000006</v>
      </c>
    </row>
    <row r="61" spans="1:5" ht="15.75" hidden="1" x14ac:dyDescent="0.25">
      <c r="A61" s="187" t="s">
        <v>281</v>
      </c>
      <c r="B61" s="20"/>
      <c r="C61" s="21"/>
      <c r="D61" s="22">
        <v>0</v>
      </c>
      <c r="E61" s="3"/>
    </row>
    <row r="62" spans="1:5" ht="15.75" hidden="1" x14ac:dyDescent="0.25">
      <c r="A62" s="225" t="s">
        <v>340</v>
      </c>
      <c r="B62" s="20"/>
      <c r="C62" s="21"/>
      <c r="D62" s="22">
        <v>0</v>
      </c>
      <c r="E62" s="3"/>
    </row>
    <row r="63" spans="1:5" ht="15.75" x14ac:dyDescent="0.25">
      <c r="A63" s="224" t="s">
        <v>327</v>
      </c>
      <c r="B63" s="229">
        <v>34347.519999999997</v>
      </c>
      <c r="C63" s="46">
        <v>1</v>
      </c>
      <c r="D63" s="22">
        <v>0</v>
      </c>
      <c r="E63" s="3"/>
    </row>
    <row r="64" spans="1:5" ht="15.75" hidden="1" x14ac:dyDescent="0.25">
      <c r="A64" s="187" t="s">
        <v>284</v>
      </c>
      <c r="B64" s="112"/>
      <c r="C64" s="46">
        <v>90</v>
      </c>
      <c r="D64" s="22">
        <v>2</v>
      </c>
      <c r="E64" s="3">
        <v>1</v>
      </c>
    </row>
    <row r="65" spans="1:4" ht="15.75" x14ac:dyDescent="0.25">
      <c r="A65" s="187" t="s">
        <v>362</v>
      </c>
      <c r="B65" s="112">
        <f>84.88+633.33</f>
        <v>718.21</v>
      </c>
      <c r="C65" s="48">
        <v>90</v>
      </c>
      <c r="D65" s="40">
        <v>560</v>
      </c>
    </row>
    <row r="66" spans="1:4" s="8" customFormat="1" ht="15.75" x14ac:dyDescent="0.25">
      <c r="A66" s="230" t="s">
        <v>286</v>
      </c>
      <c r="B66" s="208">
        <f>SUM(B67:B74)</f>
        <v>257376.44737360088</v>
      </c>
      <c r="C66" s="39"/>
      <c r="D66" s="40"/>
    </row>
    <row r="67" spans="1:4" ht="15.75" hidden="1" x14ac:dyDescent="0.25">
      <c r="A67" s="187" t="s">
        <v>287</v>
      </c>
      <c r="B67" s="20"/>
      <c r="C67" s="39"/>
      <c r="D67" s="40"/>
    </row>
    <row r="68" spans="1:4" ht="15.75" x14ac:dyDescent="0.25">
      <c r="A68" s="224" t="s">
        <v>288</v>
      </c>
      <c r="B68" s="232">
        <f>1.04*72532.64*1.12</f>
        <v>84486.01907200001</v>
      </c>
      <c r="C68" s="39"/>
      <c r="D68" s="40"/>
    </row>
    <row r="69" spans="1:4" ht="15.75" hidden="1" x14ac:dyDescent="0.25">
      <c r="A69" s="187" t="s">
        <v>289</v>
      </c>
      <c r="B69" s="20"/>
      <c r="C69" s="39"/>
      <c r="D69" s="40"/>
    </row>
    <row r="70" spans="1:4" ht="15.75" x14ac:dyDescent="0.25">
      <c r="A70" s="226" t="s">
        <v>290</v>
      </c>
      <c r="B70" s="23">
        <f>'[6]32тарифы'!D164*B13*1.12</f>
        <v>5532.0110820616119</v>
      </c>
      <c r="C70" s="39"/>
      <c r="D70" s="40"/>
    </row>
    <row r="71" spans="1:4" ht="15.75" x14ac:dyDescent="0.25">
      <c r="A71" s="226" t="s">
        <v>291</v>
      </c>
      <c r="B71" s="23">
        <f>'[6]32тарифы'!D165*B15*1.12</f>
        <v>28651.207711004212</v>
      </c>
      <c r="C71" s="39"/>
      <c r="D71" s="40"/>
    </row>
    <row r="72" spans="1:4" ht="15.75" x14ac:dyDescent="0.25">
      <c r="A72" s="226" t="s">
        <v>292</v>
      </c>
      <c r="B72" s="23">
        <f>1.04*45758.1762370732*1.12</f>
        <v>53299.123680942874</v>
      </c>
      <c r="C72" s="39"/>
      <c r="D72" s="40"/>
    </row>
    <row r="73" spans="1:4" ht="15.75" x14ac:dyDescent="0.25">
      <c r="A73" s="226" t="s">
        <v>293</v>
      </c>
      <c r="B73" s="23">
        <f>1.04*7764.35712184173*1.12</f>
        <v>9043.9231755212477</v>
      </c>
      <c r="C73" s="39"/>
      <c r="D73" s="40"/>
    </row>
    <row r="74" spans="1:4" ht="15.75" x14ac:dyDescent="0.25">
      <c r="A74" s="226" t="s">
        <v>294</v>
      </c>
      <c r="B74" s="23">
        <f>1.04*65559.8923867367*1.12</f>
        <v>76364.162652070925</v>
      </c>
      <c r="C74" s="39"/>
      <c r="D74" s="40"/>
    </row>
    <row r="75" spans="1:4" ht="63" x14ac:dyDescent="0.25">
      <c r="A75" s="233" t="s">
        <v>295</v>
      </c>
      <c r="B75" s="208">
        <f>SUM(B76:B76)</f>
        <v>152320</v>
      </c>
      <c r="C75" s="39"/>
      <c r="D75" s="40"/>
    </row>
    <row r="76" spans="1:4" ht="15.75" x14ac:dyDescent="0.25">
      <c r="A76" s="226" t="s">
        <v>296</v>
      </c>
      <c r="B76" s="23">
        <f>136000*1.12</f>
        <v>152320</v>
      </c>
      <c r="C76" s="39"/>
      <c r="D76" s="40"/>
    </row>
    <row r="77" spans="1:4" s="8" customFormat="1" ht="15.75" x14ac:dyDescent="0.25">
      <c r="A77" s="230" t="s">
        <v>297</v>
      </c>
      <c r="B77" s="208">
        <f>SUM(B78:B81)</f>
        <v>140071.43931868664</v>
      </c>
      <c r="C77" s="39"/>
      <c r="D77" s="40"/>
    </row>
    <row r="78" spans="1:4" ht="15.75" x14ac:dyDescent="0.25">
      <c r="A78" s="234" t="s">
        <v>298</v>
      </c>
      <c r="B78" s="23">
        <f>'[6]32тарифы'!D170*B15*1.12</f>
        <v>108124.77378188817</v>
      </c>
      <c r="C78" s="39"/>
      <c r="D78" s="40"/>
    </row>
    <row r="79" spans="1:4" ht="15.75" hidden="1" x14ac:dyDescent="0.25">
      <c r="A79" s="234" t="s">
        <v>299</v>
      </c>
      <c r="B79" s="232">
        <f>(B26/1.2)*30%</f>
        <v>0</v>
      </c>
      <c r="C79" s="39"/>
      <c r="D79" s="40"/>
    </row>
    <row r="80" spans="1:4" ht="15.75" x14ac:dyDescent="0.25">
      <c r="A80" s="235" t="s">
        <v>300</v>
      </c>
      <c r="B80" s="23">
        <f>12019.32+10078.97</f>
        <v>22098.29</v>
      </c>
      <c r="C80" s="39"/>
      <c r="D80" s="40"/>
    </row>
    <row r="81" spans="1:4" ht="15.75" x14ac:dyDescent="0.25">
      <c r="A81" s="235" t="s">
        <v>301</v>
      </c>
      <c r="B81" s="23">
        <f>'[6]32тарифы'!D173*B13*1.12</f>
        <v>9848.3755367984595</v>
      </c>
      <c r="C81" s="39"/>
      <c r="D81" s="40"/>
    </row>
    <row r="82" spans="1:4" ht="15.75" x14ac:dyDescent="0.25">
      <c r="A82" s="236" t="s">
        <v>302</v>
      </c>
      <c r="B82" s="28">
        <f>B32+B42+B46+B66+B75+B77</f>
        <v>894316.39057279704</v>
      </c>
      <c r="C82" s="39"/>
      <c r="D82" s="40"/>
    </row>
    <row r="83" spans="1:4" ht="15.75" x14ac:dyDescent="0.25">
      <c r="A83" s="237" t="s">
        <v>303</v>
      </c>
      <c r="B83" s="23">
        <f>B82*0.03</f>
        <v>26829.491717183912</v>
      </c>
      <c r="C83" s="39"/>
      <c r="D83" s="40"/>
    </row>
    <row r="84" spans="1:4" s="34" customFormat="1" ht="15.75" x14ac:dyDescent="0.25">
      <c r="A84" s="238" t="s">
        <v>304</v>
      </c>
      <c r="B84" s="208">
        <f>B82+B83</f>
        <v>921145.882289981</v>
      </c>
      <c r="C84" s="39"/>
      <c r="D84" s="40"/>
    </row>
    <row r="85" spans="1:4" ht="16.5" thickBot="1" x14ac:dyDescent="0.3">
      <c r="A85" s="239" t="s">
        <v>305</v>
      </c>
      <c r="B85" s="240">
        <f>B84*0.2</f>
        <v>184229.17645799622</v>
      </c>
      <c r="C85" s="39"/>
      <c r="D85" s="40"/>
    </row>
    <row r="86" spans="1:4" s="8" customFormat="1" ht="16.5" thickBot="1" x14ac:dyDescent="0.3">
      <c r="A86" s="58" t="s">
        <v>306</v>
      </c>
      <c r="B86" s="66">
        <f>B84+B85</f>
        <v>1105375.0587479773</v>
      </c>
      <c r="C86" s="60"/>
      <c r="D86" s="61"/>
    </row>
    <row r="87" spans="1:4" s="8" customFormat="1" ht="16.5" thickBot="1" x14ac:dyDescent="0.3">
      <c r="A87" s="62" t="s">
        <v>307</v>
      </c>
      <c r="B87" s="296">
        <f>B10+B24+B26+B28+B29-B86</f>
        <v>-808011.77874797722</v>
      </c>
      <c r="C87" s="63"/>
      <c r="D87" s="63"/>
    </row>
    <row r="88" spans="1:4" s="8" customFormat="1" ht="16.5" thickBot="1" x14ac:dyDescent="0.3">
      <c r="A88" s="64" t="s">
        <v>308</v>
      </c>
      <c r="B88" s="66">
        <f>B10+B25+B27+B28+B29-B86</f>
        <v>-802213.14874797734</v>
      </c>
      <c r="C88" s="63"/>
      <c r="D88" s="63"/>
    </row>
    <row r="89" spans="1:4" s="8" customFormat="1" ht="16.5" hidden="1" thickBot="1" x14ac:dyDescent="0.3">
      <c r="A89" s="241" t="s">
        <v>309</v>
      </c>
      <c r="B89" s="66">
        <f>B11+B24-B25</f>
        <v>-5798.6300000000047</v>
      </c>
      <c r="C89" s="63"/>
      <c r="D89" s="63"/>
    </row>
    <row r="90" spans="1:4" ht="15.75" x14ac:dyDescent="0.25">
      <c r="A90" s="3"/>
      <c r="B90" s="227"/>
      <c r="C90" s="3"/>
      <c r="D90" s="3"/>
    </row>
    <row r="91" spans="1:4" ht="10.5" customHeight="1" x14ac:dyDescent="0.25">
      <c r="A91" s="69"/>
      <c r="B91" s="3"/>
      <c r="C91" s="3"/>
      <c r="D91" s="3"/>
    </row>
    <row r="92" spans="1:4" ht="15.75" x14ac:dyDescent="0.25">
      <c r="A92" s="333" t="s">
        <v>407</v>
      </c>
      <c r="B92" s="333"/>
      <c r="C92" s="3"/>
      <c r="D92" s="3"/>
    </row>
    <row r="93" spans="1:4" ht="15.75" x14ac:dyDescent="0.25">
      <c r="A93" s="69"/>
      <c r="B93" s="3"/>
      <c r="C93" s="3"/>
      <c r="D93" s="3"/>
    </row>
    <row r="94" spans="1:4" ht="15.75" hidden="1" x14ac:dyDescent="0.25">
      <c r="A94" s="342" t="s">
        <v>408</v>
      </c>
      <c r="B94" s="342"/>
      <c r="C94" s="72"/>
      <c r="D94" s="3"/>
    </row>
    <row r="95" spans="1:4" ht="15.75" x14ac:dyDescent="0.25">
      <c r="A95" s="3"/>
      <c r="B95" s="3"/>
      <c r="C95" s="3"/>
      <c r="D95" s="3"/>
    </row>
  </sheetData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7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filterMode="1">
    <pageSetUpPr fitToPage="1"/>
  </sheetPr>
  <dimension ref="A1:L94"/>
  <sheetViews>
    <sheetView view="pageBreakPreview" topLeftCell="A46" zoomScale="80" zoomScaleNormal="100" zoomScaleSheetLayoutView="80" workbookViewId="0">
      <selection activeCell="B81" sqref="B81"/>
    </sheetView>
  </sheetViews>
  <sheetFormatPr defaultRowHeight="15.75" x14ac:dyDescent="0.25"/>
  <cols>
    <col min="1" max="1" width="91.5703125" style="3" customWidth="1"/>
    <col min="2" max="2" width="15" style="3" customWidth="1"/>
    <col min="3" max="4" width="13.85546875" style="3" customWidth="1"/>
    <col min="5" max="5" width="14.140625" style="3" customWidth="1"/>
    <col min="6" max="6" width="11.140625" style="3" customWidth="1"/>
    <col min="7" max="7" width="12.42578125" style="3" bestFit="1" customWidth="1"/>
    <col min="8" max="16384" width="9.140625" style="3"/>
  </cols>
  <sheetData>
    <row r="1" spans="1:4" ht="16.5" customHeight="1" x14ac:dyDescent="0.25">
      <c r="A1" s="313" t="s">
        <v>224</v>
      </c>
      <c r="B1" s="313"/>
    </row>
    <row r="2" spans="1:4" ht="16.5" x14ac:dyDescent="0.25">
      <c r="A2" s="315" t="s">
        <v>225</v>
      </c>
      <c r="B2" s="315"/>
    </row>
    <row r="3" spans="1:4" ht="16.5" x14ac:dyDescent="0.25">
      <c r="A3" s="315" t="s">
        <v>226</v>
      </c>
      <c r="B3" s="315"/>
    </row>
    <row r="4" spans="1:4" x14ac:dyDescent="0.25">
      <c r="A4" s="4" t="s">
        <v>516</v>
      </c>
      <c r="B4" s="4"/>
    </row>
    <row r="5" spans="1:4" x14ac:dyDescent="0.25">
      <c r="A5" s="4" t="s">
        <v>100</v>
      </c>
      <c r="B5" s="4"/>
    </row>
    <row r="6" spans="1:4" x14ac:dyDescent="0.25">
      <c r="A6" s="4"/>
      <c r="C6" s="8"/>
    </row>
    <row r="7" spans="1:4" ht="16.5" thickBot="1" x14ac:dyDescent="0.3">
      <c r="A7" s="9"/>
      <c r="C7" s="8"/>
    </row>
    <row r="8" spans="1:4" x14ac:dyDescent="0.25">
      <c r="A8" s="317" t="s">
        <v>227</v>
      </c>
      <c r="B8" s="345" t="s">
        <v>228</v>
      </c>
      <c r="C8" s="307" t="s">
        <v>229</v>
      </c>
      <c r="D8" s="307" t="s">
        <v>230</v>
      </c>
    </row>
    <row r="9" spans="1:4" ht="16.5" thickBot="1" x14ac:dyDescent="0.3">
      <c r="A9" s="318"/>
      <c r="B9" s="346"/>
      <c r="C9" s="308"/>
      <c r="D9" s="308"/>
    </row>
    <row r="10" spans="1:4" ht="16.5" thickBot="1" x14ac:dyDescent="0.3">
      <c r="A10" s="10" t="s">
        <v>231</v>
      </c>
      <c r="B10" s="305">
        <f>VLOOKUP(A5,мкд!S:T,2,FALSE)</f>
        <v>8273540.0199999996</v>
      </c>
      <c r="C10" s="12"/>
      <c r="D10" s="12"/>
    </row>
    <row r="11" spans="1:4" ht="16.5" hidden="1" thickBot="1" x14ac:dyDescent="0.3">
      <c r="A11" s="13" t="s">
        <v>232</v>
      </c>
      <c r="B11" s="285"/>
      <c r="C11" s="14"/>
      <c r="D11" s="14"/>
    </row>
    <row r="12" spans="1:4" x14ac:dyDescent="0.25">
      <c r="A12" s="15" t="s">
        <v>233</v>
      </c>
      <c r="B12" s="281"/>
      <c r="C12" s="17" t="s">
        <v>234</v>
      </c>
      <c r="D12" s="18" t="s">
        <v>234</v>
      </c>
    </row>
    <row r="13" spans="1:4" hidden="1" x14ac:dyDescent="0.25">
      <c r="A13" s="19" t="s">
        <v>235</v>
      </c>
      <c r="B13" s="23">
        <v>6768.1</v>
      </c>
      <c r="C13" s="21" t="s">
        <v>234</v>
      </c>
      <c r="D13" s="22" t="s">
        <v>234</v>
      </c>
    </row>
    <row r="14" spans="1:4" hidden="1" x14ac:dyDescent="0.25">
      <c r="A14" s="19" t="s">
        <v>236</v>
      </c>
      <c r="B14" s="23">
        <v>0</v>
      </c>
      <c r="C14" s="21"/>
      <c r="D14" s="22"/>
    </row>
    <row r="15" spans="1:4" hidden="1" x14ac:dyDescent="0.25">
      <c r="A15" s="19" t="s">
        <v>237</v>
      </c>
      <c r="B15" s="23">
        <f>B13+B14</f>
        <v>6768.1</v>
      </c>
      <c r="C15" s="21"/>
      <c r="D15" s="22"/>
    </row>
    <row r="16" spans="1:4" hidden="1" x14ac:dyDescent="0.25">
      <c r="A16" s="19" t="s">
        <v>238</v>
      </c>
      <c r="B16" s="23">
        <f>3214.2+2781.2/3</f>
        <v>4141.2666666666664</v>
      </c>
      <c r="C16" s="21" t="s">
        <v>234</v>
      </c>
      <c r="D16" s="22" t="s">
        <v>234</v>
      </c>
    </row>
    <row r="17" spans="1:7" hidden="1" x14ac:dyDescent="0.25">
      <c r="A17" s="19" t="s">
        <v>239</v>
      </c>
      <c r="B17" s="23">
        <v>810.9</v>
      </c>
      <c r="C17" s="21" t="s">
        <v>234</v>
      </c>
      <c r="D17" s="22" t="s">
        <v>234</v>
      </c>
    </row>
    <row r="18" spans="1:7" hidden="1" x14ac:dyDescent="0.25">
      <c r="A18" s="19" t="s">
        <v>240</v>
      </c>
      <c r="B18" s="23">
        <v>1146.0999999999999</v>
      </c>
      <c r="C18" s="21" t="s">
        <v>234</v>
      </c>
      <c r="D18" s="22" t="s">
        <v>234</v>
      </c>
    </row>
    <row r="19" spans="1:7" hidden="1" x14ac:dyDescent="0.25">
      <c r="A19" s="19" t="s">
        <v>241</v>
      </c>
      <c r="B19" s="23">
        <v>0</v>
      </c>
      <c r="C19" s="21" t="s">
        <v>234</v>
      </c>
      <c r="D19" s="22" t="s">
        <v>234</v>
      </c>
    </row>
    <row r="20" spans="1:7" hidden="1" x14ac:dyDescent="0.25">
      <c r="A20" s="19" t="s">
        <v>242</v>
      </c>
      <c r="B20" s="23">
        <v>1566</v>
      </c>
      <c r="C20" s="21"/>
      <c r="D20" s="22"/>
    </row>
    <row r="21" spans="1:7" hidden="1" x14ac:dyDescent="0.25">
      <c r="A21" s="19" t="s">
        <v>243</v>
      </c>
      <c r="B21" s="23">
        <v>2</v>
      </c>
      <c r="C21" s="21" t="s">
        <v>234</v>
      </c>
      <c r="D21" s="22" t="s">
        <v>234</v>
      </c>
    </row>
    <row r="22" spans="1:7" hidden="1" x14ac:dyDescent="0.25">
      <c r="A22" s="19" t="s">
        <v>244</v>
      </c>
      <c r="B22" s="23">
        <v>536</v>
      </c>
      <c r="C22" s="21"/>
      <c r="D22" s="22"/>
    </row>
    <row r="23" spans="1:7" x14ac:dyDescent="0.25">
      <c r="A23" s="19"/>
      <c r="B23" s="23"/>
      <c r="C23" s="21"/>
      <c r="D23" s="22"/>
      <c r="E23" s="3">
        <v>10</v>
      </c>
      <c r="F23" s="3">
        <v>2</v>
      </c>
    </row>
    <row r="24" spans="1:7" x14ac:dyDescent="0.25">
      <c r="A24" s="24" t="s">
        <v>245</v>
      </c>
      <c r="B24" s="28">
        <f>VLOOKUP(A5,[8]Лист1!M$1:O$65536,2,FALSE)</f>
        <v>2445318.5499999998</v>
      </c>
      <c r="C24" s="21"/>
      <c r="D24" s="22"/>
      <c r="E24" s="26">
        <v>29.55</v>
      </c>
      <c r="F24" s="256">
        <v>33.078269999999996</v>
      </c>
    </row>
    <row r="25" spans="1:7" x14ac:dyDescent="0.25">
      <c r="A25" s="24" t="s">
        <v>246</v>
      </c>
      <c r="B25" s="28">
        <f>VLOOKUP(A5,[8]Лист1!M$1:O$65536,3,FALSE)</f>
        <v>2451363.9</v>
      </c>
      <c r="C25" s="21"/>
      <c r="D25" s="22"/>
    </row>
    <row r="26" spans="1:7" hidden="1" x14ac:dyDescent="0.25">
      <c r="A26" s="24" t="s">
        <v>247</v>
      </c>
      <c r="B26" s="28"/>
      <c r="C26" s="21"/>
      <c r="D26" s="22"/>
    </row>
    <row r="27" spans="1:7" hidden="1" x14ac:dyDescent="0.25">
      <c r="A27" s="24" t="s">
        <v>248</v>
      </c>
      <c r="B27" s="28">
        <f>B26</f>
        <v>0</v>
      </c>
      <c r="C27" s="21"/>
      <c r="D27" s="22"/>
    </row>
    <row r="28" spans="1:7" x14ac:dyDescent="0.25">
      <c r="A28" s="24" t="s">
        <v>470</v>
      </c>
      <c r="B28" s="28">
        <v>194781.48</v>
      </c>
      <c r="C28" s="21"/>
      <c r="D28" s="22"/>
      <c r="E28" s="3">
        <v>197.7</v>
      </c>
    </row>
    <row r="29" spans="1:7" hidden="1" x14ac:dyDescent="0.25">
      <c r="A29" s="24" t="s">
        <v>250</v>
      </c>
      <c r="B29" s="23"/>
      <c r="C29" s="21"/>
      <c r="D29" s="22"/>
    </row>
    <row r="30" spans="1:7" x14ac:dyDescent="0.25">
      <c r="A30" s="29"/>
      <c r="B30" s="23"/>
      <c r="C30" s="21"/>
      <c r="D30" s="22"/>
    </row>
    <row r="31" spans="1:7" x14ac:dyDescent="0.25">
      <c r="A31" s="30" t="s">
        <v>251</v>
      </c>
      <c r="B31" s="23"/>
      <c r="C31" s="21"/>
      <c r="D31" s="22"/>
    </row>
    <row r="32" spans="1:7" s="34" customFormat="1" ht="31.5" x14ac:dyDescent="0.25">
      <c r="A32" s="31" t="s">
        <v>252</v>
      </c>
      <c r="B32" s="28">
        <f>SUM(B33:B41)</f>
        <v>473275.80000000005</v>
      </c>
      <c r="C32" s="21"/>
      <c r="D32" s="22"/>
      <c r="E32" s="33">
        <f>(B24-B86)/1.2/1.03</f>
        <v>111565.33187370173</v>
      </c>
      <c r="F32" s="33" t="e">
        <f>(#REF!-#REF!)/1.2/1.03</f>
        <v>#REF!</v>
      </c>
      <c r="G32" s="33" t="e">
        <f>(#REF!-#REF!)/1.2/1.03</f>
        <v>#REF!</v>
      </c>
    </row>
    <row r="33" spans="1:12" x14ac:dyDescent="0.25">
      <c r="A33" s="35" t="s">
        <v>253</v>
      </c>
      <c r="B33" s="23">
        <f>107000*1.1194</f>
        <v>119775.79999999999</v>
      </c>
      <c r="C33" s="21"/>
      <c r="D33" s="22">
        <v>0</v>
      </c>
    </row>
    <row r="34" spans="1:12" hidden="1" x14ac:dyDescent="0.25">
      <c r="A34" s="35" t="s">
        <v>477</v>
      </c>
      <c r="B34" s="23">
        <v>0</v>
      </c>
      <c r="C34" s="21"/>
      <c r="D34" s="22">
        <v>0</v>
      </c>
    </row>
    <row r="35" spans="1:12" hidden="1" x14ac:dyDescent="0.25">
      <c r="A35" s="35" t="s">
        <v>255</v>
      </c>
      <c r="B35" s="23">
        <v>0</v>
      </c>
      <c r="C35" s="21"/>
      <c r="D35" s="22">
        <v>0</v>
      </c>
    </row>
    <row r="36" spans="1:12" ht="16.5" x14ac:dyDescent="0.25">
      <c r="A36" s="35" t="s">
        <v>256</v>
      </c>
      <c r="B36" s="23">
        <v>240068.85</v>
      </c>
      <c r="C36" s="21" t="s">
        <v>234</v>
      </c>
      <c r="D36" s="22">
        <v>0</v>
      </c>
      <c r="K36" s="315"/>
      <c r="L36" s="315"/>
    </row>
    <row r="37" spans="1:12" x14ac:dyDescent="0.25">
      <c r="A37" s="35" t="s">
        <v>257</v>
      </c>
      <c r="B37" s="23">
        <v>15718.43</v>
      </c>
      <c r="C37" s="21"/>
      <c r="D37" s="22">
        <v>0</v>
      </c>
    </row>
    <row r="38" spans="1:12" hidden="1" x14ac:dyDescent="0.25">
      <c r="A38" s="35" t="s">
        <v>258</v>
      </c>
      <c r="B38" s="23">
        <v>0</v>
      </c>
      <c r="C38" s="21"/>
      <c r="D38" s="22">
        <v>0</v>
      </c>
    </row>
    <row r="39" spans="1:12" hidden="1" x14ac:dyDescent="0.25">
      <c r="A39" s="35" t="s">
        <v>259</v>
      </c>
      <c r="B39" s="23">
        <v>0</v>
      </c>
      <c r="C39" s="21"/>
      <c r="D39" s="22">
        <v>0</v>
      </c>
    </row>
    <row r="40" spans="1:12" x14ac:dyDescent="0.25">
      <c r="A40" s="35" t="s">
        <v>478</v>
      </c>
      <c r="B40" s="23">
        <v>34849.879999999997</v>
      </c>
      <c r="C40" s="21"/>
      <c r="D40" s="22"/>
    </row>
    <row r="41" spans="1:12" x14ac:dyDescent="0.25">
      <c r="A41" s="35" t="s">
        <v>343</v>
      </c>
      <c r="B41" s="23">
        <v>62862.84</v>
      </c>
      <c r="C41" s="21"/>
      <c r="D41" s="22"/>
    </row>
    <row r="42" spans="1:12" s="34" customFormat="1" ht="47.25" x14ac:dyDescent="0.25">
      <c r="A42" s="31" t="s">
        <v>261</v>
      </c>
      <c r="B42" s="28">
        <f>SUM(B43:B45)</f>
        <v>250179.3343494763</v>
      </c>
      <c r="C42" s="21"/>
      <c r="D42" s="22"/>
      <c r="E42" s="33"/>
      <c r="F42" s="33"/>
      <c r="G42" s="33"/>
    </row>
    <row r="43" spans="1:12" x14ac:dyDescent="0.25">
      <c r="A43" s="35" t="s">
        <v>262</v>
      </c>
      <c r="B43" s="23">
        <v>21582.21</v>
      </c>
      <c r="C43" s="39"/>
      <c r="D43" s="40"/>
    </row>
    <row r="44" spans="1:12" x14ac:dyDescent="0.25">
      <c r="A44" s="35" t="s">
        <v>263</v>
      </c>
      <c r="B44" s="23">
        <v>187058.52000000002</v>
      </c>
      <c r="C44" s="39"/>
      <c r="D44" s="40"/>
    </row>
    <row r="45" spans="1:12" x14ac:dyDescent="0.25">
      <c r="A45" s="41" t="s">
        <v>264</v>
      </c>
      <c r="B45" s="23">
        <f>('[3]63тарифы'!D163*B13+1200)*1.1194</f>
        <v>41538.604349476285</v>
      </c>
      <c r="C45" s="39"/>
      <c r="D45" s="40"/>
    </row>
    <row r="46" spans="1:12" s="8" customFormat="1" x14ac:dyDescent="0.25">
      <c r="A46" s="31" t="s">
        <v>265</v>
      </c>
      <c r="B46" s="28">
        <f>SUM(B47:B65)</f>
        <v>281136.15000000002</v>
      </c>
      <c r="C46" s="21"/>
      <c r="D46" s="22"/>
    </row>
    <row r="47" spans="1:12" x14ac:dyDescent="0.25">
      <c r="A47" s="35" t="s">
        <v>266</v>
      </c>
      <c r="B47" s="23">
        <v>4813.5600000000004</v>
      </c>
      <c r="C47" s="21"/>
      <c r="D47" s="22"/>
      <c r="E47" s="3" t="s">
        <v>267</v>
      </c>
    </row>
    <row r="48" spans="1:12" x14ac:dyDescent="0.25">
      <c r="A48" s="35" t="s">
        <v>268</v>
      </c>
      <c r="B48" s="23">
        <v>5845.14</v>
      </c>
      <c r="C48" s="21"/>
      <c r="D48" s="22"/>
      <c r="E48" s="3" t="s">
        <v>269</v>
      </c>
    </row>
    <row r="49" spans="1:4" x14ac:dyDescent="0.25">
      <c r="A49" s="42" t="s">
        <v>270</v>
      </c>
      <c r="B49" s="22">
        <v>122109.36</v>
      </c>
      <c r="C49" s="21">
        <v>2</v>
      </c>
      <c r="D49" s="22">
        <f>4632.04*2</f>
        <v>9264.08</v>
      </c>
    </row>
    <row r="50" spans="1:4" x14ac:dyDescent="0.25">
      <c r="A50" s="42" t="s">
        <v>282</v>
      </c>
      <c r="B50" s="22">
        <v>1034.3499999999999</v>
      </c>
      <c r="C50" s="21">
        <v>1</v>
      </c>
      <c r="D50" s="22">
        <v>4190</v>
      </c>
    </row>
    <row r="51" spans="1:4" x14ac:dyDescent="0.25">
      <c r="A51" s="42" t="s">
        <v>472</v>
      </c>
      <c r="B51" s="22">
        <v>44382</v>
      </c>
      <c r="C51" s="21">
        <v>1</v>
      </c>
      <c r="D51" s="22">
        <v>13973</v>
      </c>
    </row>
    <row r="52" spans="1:4" ht="16.5" customHeight="1" x14ac:dyDescent="0.25">
      <c r="A52" s="42" t="s">
        <v>548</v>
      </c>
      <c r="B52" s="22">
        <v>4200</v>
      </c>
      <c r="C52" s="21">
        <v>2</v>
      </c>
      <c r="D52" s="22">
        <v>105.14</v>
      </c>
    </row>
    <row r="53" spans="1:4" ht="15" customHeight="1" x14ac:dyDescent="0.25">
      <c r="A53" s="42" t="s">
        <v>540</v>
      </c>
      <c r="B53" s="23">
        <v>80818.13</v>
      </c>
      <c r="C53" s="21">
        <v>0</v>
      </c>
      <c r="D53" s="22">
        <v>522.99</v>
      </c>
    </row>
    <row r="54" spans="1:4" x14ac:dyDescent="0.25">
      <c r="A54" s="42" t="s">
        <v>275</v>
      </c>
      <c r="B54" s="23">
        <v>8133.61</v>
      </c>
      <c r="C54" s="21">
        <v>1</v>
      </c>
      <c r="D54" s="44">
        <v>657.53</v>
      </c>
    </row>
    <row r="55" spans="1:4" x14ac:dyDescent="0.25">
      <c r="A55" s="42" t="s">
        <v>271</v>
      </c>
      <c r="B55" s="22">
        <v>9800</v>
      </c>
      <c r="C55" s="21"/>
      <c r="D55" s="44"/>
    </row>
    <row r="56" spans="1:4" hidden="1" x14ac:dyDescent="0.25">
      <c r="A56" s="42" t="s">
        <v>277</v>
      </c>
      <c r="B56" s="23">
        <v>0</v>
      </c>
      <c r="C56" s="21">
        <v>0</v>
      </c>
      <c r="D56" s="22">
        <f>10695.76/1.18</f>
        <v>9064.203389830509</v>
      </c>
    </row>
    <row r="57" spans="1:4" hidden="1" x14ac:dyDescent="0.25">
      <c r="A57" s="42" t="s">
        <v>314</v>
      </c>
      <c r="B57" s="23">
        <v>0</v>
      </c>
      <c r="C57" s="21">
        <v>0</v>
      </c>
      <c r="D57" s="22">
        <f>2300/1.18</f>
        <v>1949.1525423728815</v>
      </c>
    </row>
    <row r="58" spans="1:4" hidden="1" x14ac:dyDescent="0.25">
      <c r="A58" s="42" t="s">
        <v>315</v>
      </c>
      <c r="B58" s="23">
        <v>0</v>
      </c>
      <c r="C58" s="21">
        <v>0</v>
      </c>
      <c r="D58" s="22">
        <v>0</v>
      </c>
    </row>
    <row r="59" spans="1:4" hidden="1" x14ac:dyDescent="0.25">
      <c r="A59" s="42" t="s">
        <v>279</v>
      </c>
      <c r="B59" s="23">
        <f>B13*'[3]63тарифы'!D184</f>
        <v>0</v>
      </c>
      <c r="C59" s="21"/>
      <c r="D59" s="22"/>
    </row>
    <row r="60" spans="1:4" hidden="1" x14ac:dyDescent="0.25">
      <c r="A60" s="35" t="s">
        <v>280</v>
      </c>
      <c r="B60" s="23">
        <v>0</v>
      </c>
      <c r="C60" s="21"/>
      <c r="D60" s="22"/>
    </row>
    <row r="61" spans="1:4" hidden="1" x14ac:dyDescent="0.25">
      <c r="A61" s="35" t="s">
        <v>281</v>
      </c>
      <c r="B61" s="23">
        <v>0</v>
      </c>
      <c r="C61" s="21"/>
      <c r="D61" s="22">
        <v>0</v>
      </c>
    </row>
    <row r="62" spans="1:4" hidden="1" x14ac:dyDescent="0.25">
      <c r="A62" s="35" t="s">
        <v>340</v>
      </c>
      <c r="B62" s="23">
        <v>0</v>
      </c>
      <c r="C62" s="21"/>
      <c r="D62" s="22">
        <v>0</v>
      </c>
    </row>
    <row r="63" spans="1:4" hidden="1" x14ac:dyDescent="0.25">
      <c r="A63" s="35" t="s">
        <v>327</v>
      </c>
      <c r="B63" s="47">
        <v>0</v>
      </c>
      <c r="C63" s="46">
        <v>1</v>
      </c>
      <c r="D63" s="22">
        <v>0</v>
      </c>
    </row>
    <row r="64" spans="1:4" hidden="1" x14ac:dyDescent="0.25">
      <c r="A64" s="35" t="s">
        <v>348</v>
      </c>
      <c r="B64" s="47">
        <v>0</v>
      </c>
      <c r="C64" s="46">
        <v>230</v>
      </c>
      <c r="D64" s="22">
        <v>0.5</v>
      </c>
    </row>
    <row r="65" spans="1:4" hidden="1" x14ac:dyDescent="0.25">
      <c r="A65" s="35" t="s">
        <v>285</v>
      </c>
      <c r="B65" s="47">
        <v>0</v>
      </c>
      <c r="C65" s="48"/>
      <c r="D65" s="40">
        <v>0</v>
      </c>
    </row>
    <row r="66" spans="1:4" s="8" customFormat="1" x14ac:dyDescent="0.25">
      <c r="A66" s="49" t="s">
        <v>286</v>
      </c>
      <c r="B66" s="28">
        <f>SUM(B67:B74)</f>
        <v>396542.598107133</v>
      </c>
      <c r="C66" s="39"/>
      <c r="D66" s="40"/>
    </row>
    <row r="67" spans="1:4" hidden="1" x14ac:dyDescent="0.25">
      <c r="A67" s="35" t="s">
        <v>287</v>
      </c>
      <c r="B67" s="23">
        <v>0</v>
      </c>
      <c r="C67" s="39"/>
      <c r="D67" s="40"/>
    </row>
    <row r="68" spans="1:4" x14ac:dyDescent="0.25">
      <c r="A68" s="35" t="s">
        <v>288</v>
      </c>
      <c r="B68" s="23">
        <f>163171.92*1.1194</f>
        <v>182654.64724799999</v>
      </c>
      <c r="C68" s="39"/>
      <c r="D68" s="40"/>
    </row>
    <row r="69" spans="1:4" hidden="1" x14ac:dyDescent="0.25">
      <c r="A69" s="35" t="s">
        <v>289</v>
      </c>
      <c r="B69" s="23">
        <v>0</v>
      </c>
      <c r="C69" s="39"/>
      <c r="D69" s="40"/>
    </row>
    <row r="70" spans="1:4" x14ac:dyDescent="0.25">
      <c r="A70" s="41" t="s">
        <v>290</v>
      </c>
      <c r="B70" s="23">
        <f>'[3]63тарифы'!D164*B13*1.1194</f>
        <v>8352.5615857628</v>
      </c>
      <c r="C70" s="39"/>
      <c r="D70" s="40"/>
    </row>
    <row r="71" spans="1:4" x14ac:dyDescent="0.25">
      <c r="A71" s="41" t="s">
        <v>291</v>
      </c>
      <c r="B71" s="23">
        <f>VLOOKUP($A71,[8]Лист1!S$1:T$65536,2,FALSE)*B15</f>
        <v>31301.818408107563</v>
      </c>
      <c r="C71" s="39"/>
      <c r="D71" s="40"/>
    </row>
    <row r="72" spans="1:4" x14ac:dyDescent="0.25">
      <c r="A72" s="41" t="s">
        <v>292</v>
      </c>
      <c r="B72" s="23">
        <f>VLOOKUP($A72,[8]Лист1!S$1:T$65536,2,FALSE)*B15</f>
        <v>109269.02610453588</v>
      </c>
      <c r="C72" s="39"/>
      <c r="D72" s="40"/>
    </row>
    <row r="73" spans="1:4" x14ac:dyDescent="0.25">
      <c r="A73" s="41" t="s">
        <v>293</v>
      </c>
      <c r="B73" s="23">
        <f>11730*1.04*1.1194</f>
        <v>13655.78448</v>
      </c>
      <c r="C73" s="39"/>
      <c r="D73" s="40"/>
    </row>
    <row r="74" spans="1:4" x14ac:dyDescent="0.25">
      <c r="A74" s="41" t="s">
        <v>475</v>
      </c>
      <c r="B74" s="23">
        <f>(('[3]63тарифы'!D167*B15)+('[3]63тарифы'!D187*B15))*1.1194</f>
        <v>51308.760280726834</v>
      </c>
      <c r="C74" s="39"/>
      <c r="D74" s="40"/>
    </row>
    <row r="75" spans="1:4" ht="63" x14ac:dyDescent="0.25">
      <c r="A75" s="50" t="s">
        <v>295</v>
      </c>
      <c r="B75" s="28">
        <f>SUM(B76:B76)</f>
        <v>230210.95699800001</v>
      </c>
      <c r="C75" s="39"/>
      <c r="D75" s="40"/>
    </row>
    <row r="76" spans="1:4" x14ac:dyDescent="0.25">
      <c r="A76" s="41" t="s">
        <v>296</v>
      </c>
      <c r="B76" s="23">
        <f>205655.67*1.1194</f>
        <v>230210.95699800001</v>
      </c>
      <c r="C76" s="39"/>
      <c r="D76" s="40"/>
    </row>
    <row r="77" spans="1:4" s="8" customFormat="1" x14ac:dyDescent="0.25">
      <c r="A77" s="49" t="s">
        <v>297</v>
      </c>
      <c r="B77" s="28">
        <f>SUM(B78:B81)</f>
        <v>235502.89501473089</v>
      </c>
      <c r="C77" s="39"/>
      <c r="D77" s="40"/>
    </row>
    <row r="78" spans="1:4" x14ac:dyDescent="0.25">
      <c r="A78" s="51" t="s">
        <v>298</v>
      </c>
      <c r="B78" s="23">
        <f>'[3]63тарифы'!D170*B15*1.1194</f>
        <v>163253.25791345432</v>
      </c>
      <c r="C78" s="39"/>
      <c r="D78" s="40"/>
    </row>
    <row r="79" spans="1:4" hidden="1" x14ac:dyDescent="0.25">
      <c r="A79" s="51" t="s">
        <v>299</v>
      </c>
      <c r="B79" s="23">
        <f>B26/1.2*30%</f>
        <v>0</v>
      </c>
      <c r="C79" s="39"/>
      <c r="D79" s="40"/>
    </row>
    <row r="80" spans="1:4" x14ac:dyDescent="0.25">
      <c r="A80" s="52" t="s">
        <v>300</v>
      </c>
      <c r="B80" s="23">
        <f>31383.78+25996.19</f>
        <v>57379.97</v>
      </c>
      <c r="C80" s="39"/>
      <c r="D80" s="40"/>
    </row>
    <row r="81" spans="1:4" x14ac:dyDescent="0.25">
      <c r="A81" s="52" t="s">
        <v>301</v>
      </c>
      <c r="B81" s="23">
        <f>'[3]63тарифы'!D173*B13*1.1194</f>
        <v>14869.667101276564</v>
      </c>
      <c r="C81" s="39"/>
      <c r="D81" s="40"/>
    </row>
    <row r="82" spans="1:4" x14ac:dyDescent="0.25">
      <c r="A82" s="53" t="s">
        <v>302</v>
      </c>
      <c r="B82" s="28">
        <f>B32+B42+B46+B66+B75+B77</f>
        <v>1866847.7344693402</v>
      </c>
      <c r="C82" s="39"/>
      <c r="D82" s="40"/>
    </row>
    <row r="83" spans="1:4" x14ac:dyDescent="0.25">
      <c r="A83" s="54" t="s">
        <v>303</v>
      </c>
      <c r="B83" s="23">
        <f>B82*0.03</f>
        <v>56005.432034080201</v>
      </c>
      <c r="C83" s="39"/>
      <c r="D83" s="40"/>
    </row>
    <row r="84" spans="1:4" s="34" customFormat="1" x14ac:dyDescent="0.25">
      <c r="A84" s="55" t="s">
        <v>304</v>
      </c>
      <c r="B84" s="28">
        <f>B82+B83</f>
        <v>1922853.1665034203</v>
      </c>
      <c r="C84" s="39"/>
      <c r="D84" s="40"/>
    </row>
    <row r="85" spans="1:4" ht="16.5" thickBot="1" x14ac:dyDescent="0.3">
      <c r="A85" s="56" t="s">
        <v>305</v>
      </c>
      <c r="B85" s="240">
        <f>B84*0.2</f>
        <v>384570.6333006841</v>
      </c>
      <c r="C85" s="39"/>
      <c r="D85" s="40"/>
    </row>
    <row r="86" spans="1:4" s="8" customFormat="1" ht="16.5" thickBot="1" x14ac:dyDescent="0.3">
      <c r="A86" s="58" t="s">
        <v>306</v>
      </c>
      <c r="B86" s="286">
        <f>B84+B85</f>
        <v>2307423.7998041045</v>
      </c>
      <c r="C86" s="60"/>
      <c r="D86" s="61"/>
    </row>
    <row r="87" spans="1:4" s="8" customFormat="1" ht="16.5" thickBot="1" x14ac:dyDescent="0.3">
      <c r="A87" s="62" t="s">
        <v>307</v>
      </c>
      <c r="B87" s="300">
        <f>B10+B24+B26+B28+B29-B86</f>
        <v>8606216.2501958963</v>
      </c>
      <c r="C87" s="63"/>
      <c r="D87" s="63"/>
    </row>
    <row r="88" spans="1:4" s="8" customFormat="1" ht="16.5" thickBot="1" x14ac:dyDescent="0.3">
      <c r="A88" s="64" t="s">
        <v>308</v>
      </c>
      <c r="B88" s="286">
        <f>B10+B25+B27+B28+B29-B86</f>
        <v>8612261.6001958959</v>
      </c>
      <c r="C88" s="63"/>
      <c r="D88" s="63"/>
    </row>
    <row r="89" spans="1:4" s="8" customFormat="1" ht="16.5" hidden="1" thickBot="1" x14ac:dyDescent="0.3">
      <c r="A89" s="65" t="s">
        <v>309</v>
      </c>
      <c r="B89" s="66">
        <f>B11+B24-B25</f>
        <v>-6045.3500000000931</v>
      </c>
      <c r="C89" s="63"/>
      <c r="D89" s="63"/>
    </row>
    <row r="90" spans="1:4" s="8" customFormat="1" x14ac:dyDescent="0.25">
      <c r="A90" s="67"/>
      <c r="B90" s="287"/>
      <c r="C90" s="63"/>
      <c r="D90" s="63"/>
    </row>
    <row r="91" spans="1:4" x14ac:dyDescent="0.25">
      <c r="A91" s="69"/>
    </row>
    <row r="92" spans="1:4" x14ac:dyDescent="0.25">
      <c r="A92" s="309" t="s">
        <v>476</v>
      </c>
      <c r="B92" s="309"/>
    </row>
    <row r="93" spans="1:4" x14ac:dyDescent="0.25">
      <c r="A93" s="69"/>
      <c r="B93" s="72"/>
    </row>
    <row r="94" spans="1:4" x14ac:dyDescent="0.25">
      <c r="A94" s="311"/>
      <c r="B94" s="311"/>
      <c r="C94" s="72"/>
    </row>
  </sheetData>
  <autoFilter ref="A32:B89" xr:uid="{00000000-0009-0000-0000-000025000000}">
    <filterColumn colId="1">
      <filters>
        <filter val="100 318,99"/>
        <filter val="109 269,03"/>
        <filter val="11 509,89"/>
        <filter val="119 775,80"/>
        <filter val="121 288,71"/>
        <filter val="13 655,78"/>
        <filter val="14 869,67"/>
        <filter val="15 718,43"/>
        <filter val="163 253,26"/>
        <filter val="182 654,65"/>
        <filter val="187 058,52"/>
        <filter val="2 059 971,91"/>
        <filter val="2 121 771,07"/>
        <filter val="2 546 125,29"/>
        <filter val="21 582,21"/>
        <filter val="220 896,46"/>
        <filter val="230 210,96"/>
        <filter val="235 290,48"/>
        <filter val="240 068,85"/>
        <filter val="250 179,33"/>
        <filter val="31 301,82"/>
        <filter val="34 849,88"/>
        <filter val="396 542,60"/>
        <filter val="4 813,56"/>
        <filter val="41 538,60"/>
        <filter val="424 354,21"/>
        <filter val="474 472,75"/>
        <filter val="5 845,14"/>
        <filter val="51 308,76"/>
        <filter val="57 167,55"/>
        <filter val="-6 045,35"/>
        <filter val="61 799,16"/>
        <filter val="62 862,84"/>
        <filter val="8 273 540,02"/>
        <filter val="8 279 585,37"/>
        <filter val="8 352,56"/>
        <filter val="9 800,00"/>
      </filters>
    </filterColumn>
  </autoFilter>
  <mergeCells count="10">
    <mergeCell ref="K36:L36"/>
    <mergeCell ref="A92:B92"/>
    <mergeCell ref="A94:B94"/>
    <mergeCell ref="C8:C9"/>
    <mergeCell ref="A1:B1"/>
    <mergeCell ref="A2:B2"/>
    <mergeCell ref="A3:B3"/>
    <mergeCell ref="A8:A9"/>
    <mergeCell ref="B8:B9"/>
    <mergeCell ref="D8:D9"/>
  </mergeCells>
  <phoneticPr fontId="43" type="noConversion"/>
  <pageMargins left="0.78740157480314965" right="0.78740157480314965" top="0.35433070866141736" bottom="0.15748031496062992" header="0.31496062992125984" footer="0.31496062992125984"/>
  <pageSetup paperSize="9" scale="76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filterMode="1">
    <pageSetUpPr fitToPage="1"/>
  </sheetPr>
  <dimension ref="A1:G90"/>
  <sheetViews>
    <sheetView view="pageBreakPreview" topLeftCell="A36" zoomScale="80" zoomScaleNormal="100" zoomScaleSheetLayoutView="80" workbookViewId="0">
      <selection activeCell="B59" sqref="B59"/>
    </sheetView>
  </sheetViews>
  <sheetFormatPr defaultRowHeight="12.75" x14ac:dyDescent="0.2"/>
  <cols>
    <col min="1" max="1" width="91.5703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13" t="s">
        <v>224</v>
      </c>
      <c r="B1" s="314"/>
      <c r="C1" s="3"/>
      <c r="D1" s="3"/>
    </row>
    <row r="2" spans="1:4" ht="16.5" x14ac:dyDescent="0.25">
      <c r="A2" s="315" t="s">
        <v>225</v>
      </c>
      <c r="B2" s="316"/>
      <c r="C2" s="3"/>
      <c r="D2" s="3"/>
    </row>
    <row r="3" spans="1:4" ht="16.5" x14ac:dyDescent="0.25">
      <c r="A3" s="315" t="s">
        <v>226</v>
      </c>
      <c r="B3" s="316"/>
      <c r="C3" s="3"/>
      <c r="D3" s="3"/>
    </row>
    <row r="4" spans="1:4" ht="15.75" x14ac:dyDescent="0.25">
      <c r="A4" s="4" t="s">
        <v>516</v>
      </c>
      <c r="B4" s="5"/>
      <c r="C4" s="3"/>
      <c r="D4" s="3"/>
    </row>
    <row r="5" spans="1:4" ht="15.75" x14ac:dyDescent="0.25">
      <c r="A5" s="4" t="s">
        <v>106</v>
      </c>
      <c r="B5" s="6"/>
      <c r="C5" s="3"/>
      <c r="D5" s="3"/>
    </row>
    <row r="6" spans="1:4" ht="5.25" customHeight="1" x14ac:dyDescent="0.25">
      <c r="A6" s="4"/>
      <c r="B6" s="7"/>
      <c r="C6" s="8"/>
      <c r="D6" s="3"/>
    </row>
    <row r="7" spans="1:4" ht="16.5" thickBot="1" x14ac:dyDescent="0.3">
      <c r="A7" s="9"/>
      <c r="B7" s="7"/>
      <c r="C7" s="8"/>
      <c r="D7" s="3"/>
    </row>
    <row r="8" spans="1:4" ht="15.75" customHeight="1" x14ac:dyDescent="0.2">
      <c r="A8" s="317" t="s">
        <v>227</v>
      </c>
      <c r="B8" s="319" t="s">
        <v>228</v>
      </c>
      <c r="C8" s="307" t="s">
        <v>229</v>
      </c>
      <c r="D8" s="307" t="s">
        <v>230</v>
      </c>
    </row>
    <row r="9" spans="1:4" ht="28.5" customHeight="1" thickBot="1" x14ac:dyDescent="0.25">
      <c r="A9" s="318"/>
      <c r="B9" s="320"/>
      <c r="C9" s="308"/>
      <c r="D9" s="308"/>
    </row>
    <row r="10" spans="1:4" ht="16.5" thickBot="1" x14ac:dyDescent="0.25">
      <c r="A10" s="10" t="s">
        <v>231</v>
      </c>
      <c r="B10" s="301">
        <f>VLOOKUP(A5,мкд!S:T,2,FALSE)</f>
        <v>-1105240.4099999999</v>
      </c>
      <c r="C10" s="12"/>
      <c r="D10" s="12"/>
    </row>
    <row r="11" spans="1:4" ht="16.5" thickBot="1" x14ac:dyDescent="0.25">
      <c r="A11" s="13" t="s">
        <v>232</v>
      </c>
      <c r="B11" s="11"/>
      <c r="C11" s="14"/>
      <c r="D11" s="14"/>
    </row>
    <row r="12" spans="1:4" ht="15.75" x14ac:dyDescent="0.25">
      <c r="A12" s="15" t="s">
        <v>233</v>
      </c>
      <c r="B12" s="16"/>
      <c r="C12" s="17" t="s">
        <v>234</v>
      </c>
      <c r="D12" s="18" t="s">
        <v>234</v>
      </c>
    </row>
    <row r="13" spans="1:4" ht="15.75" hidden="1" x14ac:dyDescent="0.25">
      <c r="A13" s="19" t="s">
        <v>235</v>
      </c>
      <c r="B13" s="20">
        <v>879</v>
      </c>
      <c r="C13" s="21" t="s">
        <v>234</v>
      </c>
      <c r="D13" s="22" t="s">
        <v>234</v>
      </c>
    </row>
    <row r="14" spans="1:4" ht="15.75" hidden="1" x14ac:dyDescent="0.25">
      <c r="A14" s="19" t="s">
        <v>236</v>
      </c>
      <c r="B14" s="20">
        <v>0</v>
      </c>
      <c r="C14" s="21"/>
      <c r="D14" s="22"/>
    </row>
    <row r="15" spans="1:4" ht="15.75" x14ac:dyDescent="0.25">
      <c r="A15" s="19" t="s">
        <v>237</v>
      </c>
      <c r="B15" s="20">
        <f>B13+B14</f>
        <v>879</v>
      </c>
      <c r="C15" s="21"/>
      <c r="D15" s="22"/>
    </row>
    <row r="16" spans="1:4" ht="15.75" x14ac:dyDescent="0.25">
      <c r="A16" s="19" t="s">
        <v>238</v>
      </c>
      <c r="B16" s="20">
        <f>710.92+329.61/3</f>
        <v>820.79</v>
      </c>
      <c r="C16" s="21" t="s">
        <v>234</v>
      </c>
      <c r="D16" s="22" t="s">
        <v>234</v>
      </c>
    </row>
    <row r="17" spans="1:7" ht="15.75" hidden="1" x14ac:dyDescent="0.25">
      <c r="A17" s="19" t="s">
        <v>239</v>
      </c>
      <c r="B17" s="20">
        <v>0</v>
      </c>
      <c r="C17" s="21" t="s">
        <v>234</v>
      </c>
      <c r="D17" s="22" t="s">
        <v>234</v>
      </c>
      <c r="E17" s="3"/>
      <c r="F17" s="3"/>
      <c r="G17" s="3"/>
    </row>
    <row r="18" spans="1:7" ht="15.75" hidden="1" x14ac:dyDescent="0.25">
      <c r="A18" s="19" t="s">
        <v>240</v>
      </c>
      <c r="B18" s="20">
        <v>0</v>
      </c>
      <c r="C18" s="21" t="s">
        <v>234</v>
      </c>
      <c r="D18" s="22" t="s">
        <v>234</v>
      </c>
      <c r="E18" s="3"/>
      <c r="F18" s="3"/>
      <c r="G18" s="3"/>
    </row>
    <row r="19" spans="1:7" ht="15.75" hidden="1" x14ac:dyDescent="0.25">
      <c r="A19" s="19" t="s">
        <v>241</v>
      </c>
      <c r="B19" s="20">
        <v>0</v>
      </c>
      <c r="C19" s="21" t="s">
        <v>234</v>
      </c>
      <c r="D19" s="22" t="s">
        <v>234</v>
      </c>
      <c r="E19" s="3"/>
      <c r="F19" s="3"/>
      <c r="G19" s="3"/>
    </row>
    <row r="20" spans="1:7" ht="15.75" hidden="1" x14ac:dyDescent="0.25">
      <c r="A20" s="19" t="s">
        <v>242</v>
      </c>
      <c r="B20" s="20">
        <v>708</v>
      </c>
      <c r="C20" s="21"/>
      <c r="D20" s="22"/>
      <c r="E20" s="3"/>
      <c r="F20" s="3"/>
      <c r="G20" s="3"/>
    </row>
    <row r="21" spans="1:7" ht="15.75" hidden="1" x14ac:dyDescent="0.25">
      <c r="A21" s="19" t="s">
        <v>243</v>
      </c>
      <c r="B21" s="20">
        <v>0</v>
      </c>
      <c r="C21" s="21" t="s">
        <v>234</v>
      </c>
      <c r="D21" s="22" t="s">
        <v>234</v>
      </c>
      <c r="E21" s="3"/>
      <c r="F21" s="3"/>
      <c r="G21" s="3"/>
    </row>
    <row r="22" spans="1:7" ht="15.75" hidden="1" x14ac:dyDescent="0.25">
      <c r="A22" s="19" t="s">
        <v>244</v>
      </c>
      <c r="B22" s="20">
        <v>51</v>
      </c>
      <c r="C22" s="21"/>
      <c r="D22" s="22"/>
      <c r="E22" s="3"/>
      <c r="F22" s="3"/>
      <c r="G22" s="3"/>
    </row>
    <row r="23" spans="1:7" ht="15.75" x14ac:dyDescent="0.25">
      <c r="A23" s="19"/>
      <c r="B23" s="20"/>
      <c r="C23" s="21"/>
      <c r="D23" s="22"/>
      <c r="E23" s="3">
        <v>10</v>
      </c>
      <c r="F23" s="3">
        <v>2</v>
      </c>
      <c r="G23" s="3"/>
    </row>
    <row r="24" spans="1:7" ht="15.75" x14ac:dyDescent="0.25">
      <c r="A24" s="24" t="s">
        <v>245</v>
      </c>
      <c r="B24" s="25">
        <f>VLOOKUP(A5,[7]Лист1!M$1:N$65536,2,FALSE)</f>
        <v>473525.97</v>
      </c>
      <c r="C24" s="21"/>
      <c r="D24" s="22"/>
      <c r="E24" s="26">
        <v>39.190000000000005</v>
      </c>
      <c r="F24" s="27">
        <v>43.869286000000002</v>
      </c>
      <c r="G24" s="3"/>
    </row>
    <row r="25" spans="1:7" ht="15.75" x14ac:dyDescent="0.25">
      <c r="A25" s="24" t="s">
        <v>246</v>
      </c>
      <c r="B25" s="25">
        <f>VLOOKUP(A5,[7]Лист1!M$1:O$65536,3,FALSE)</f>
        <v>331276.15000000002</v>
      </c>
      <c r="C25" s="21"/>
      <c r="D25" s="22"/>
      <c r="E25" s="3"/>
      <c r="F25" s="3"/>
      <c r="G25" s="3"/>
    </row>
    <row r="26" spans="1:7" ht="15.75" hidden="1" x14ac:dyDescent="0.25">
      <c r="A26" s="24" t="s">
        <v>247</v>
      </c>
      <c r="B26" s="25"/>
      <c r="C26" s="21"/>
      <c r="D26" s="22"/>
      <c r="E26" s="3"/>
      <c r="F26" s="3"/>
      <c r="G26" s="3"/>
    </row>
    <row r="27" spans="1:7" ht="15.75" hidden="1" x14ac:dyDescent="0.25">
      <c r="A27" s="24" t="s">
        <v>248</v>
      </c>
      <c r="B27" s="25">
        <f>B26</f>
        <v>0</v>
      </c>
      <c r="C27" s="21"/>
      <c r="D27" s="22"/>
      <c r="E27" s="3"/>
      <c r="F27" s="3"/>
      <c r="G27" s="3"/>
    </row>
    <row r="28" spans="1:7" ht="15.75" hidden="1" x14ac:dyDescent="0.25">
      <c r="A28" s="24" t="s">
        <v>249</v>
      </c>
      <c r="B28" s="25"/>
      <c r="C28" s="21"/>
      <c r="D28" s="22"/>
      <c r="E28" s="3"/>
      <c r="F28" s="3"/>
      <c r="G28" s="3"/>
    </row>
    <row r="29" spans="1:7" ht="15.75" hidden="1" x14ac:dyDescent="0.25">
      <c r="A29" s="24" t="s">
        <v>250</v>
      </c>
      <c r="B29" s="20"/>
      <c r="C29" s="21"/>
      <c r="D29" s="22"/>
      <c r="E29" s="3"/>
      <c r="F29" s="3"/>
      <c r="G29" s="3"/>
    </row>
    <row r="30" spans="1:7" ht="15.75" x14ac:dyDescent="0.25">
      <c r="A30" s="29"/>
      <c r="B30" s="20"/>
      <c r="C30" s="21"/>
      <c r="D30" s="22"/>
      <c r="E30" s="3"/>
      <c r="F30" s="3"/>
      <c r="G30" s="3"/>
    </row>
    <row r="31" spans="1:7" ht="15.75" x14ac:dyDescent="0.25">
      <c r="A31" s="30" t="s">
        <v>251</v>
      </c>
      <c r="B31" s="20"/>
      <c r="C31" s="21"/>
      <c r="D31" s="22"/>
      <c r="E31" s="3"/>
      <c r="F31" s="3"/>
      <c r="G31" s="3"/>
    </row>
    <row r="32" spans="1:7" s="34" customFormat="1" ht="31.5" x14ac:dyDescent="0.25">
      <c r="A32" s="31" t="s">
        <v>252</v>
      </c>
      <c r="B32" s="32">
        <f>SUM(B33:B37)</f>
        <v>103500.81</v>
      </c>
      <c r="C32" s="21"/>
      <c r="D32" s="22"/>
      <c r="E32" s="33">
        <f>(B24-B64)/1.2/1.03</f>
        <v>-22642.366090407886</v>
      </c>
      <c r="F32" s="33" t="e">
        <f>(#REF!-#REF!)/1.2/1.03</f>
        <v>#REF!</v>
      </c>
      <c r="G32" s="33" t="e">
        <f>(#REF!-#REF!)/1.2/1.03</f>
        <v>#REF!</v>
      </c>
    </row>
    <row r="33" spans="1:7" ht="15.75" x14ac:dyDescent="0.25">
      <c r="A33" s="35" t="s">
        <v>253</v>
      </c>
      <c r="B33" s="20">
        <v>49033.98</v>
      </c>
      <c r="C33" s="21"/>
      <c r="D33" s="22">
        <v>12691.78</v>
      </c>
      <c r="E33" s="3"/>
      <c r="F33" s="3"/>
      <c r="G33" s="3"/>
    </row>
    <row r="34" spans="1:7" ht="15.75" x14ac:dyDescent="0.25">
      <c r="A34" s="35" t="s">
        <v>512</v>
      </c>
      <c r="B34" s="23">
        <v>40939.67</v>
      </c>
      <c r="C34" s="21"/>
      <c r="D34" s="22">
        <v>0</v>
      </c>
      <c r="E34" s="3"/>
      <c r="F34" s="3"/>
      <c r="G34" s="3"/>
    </row>
    <row r="35" spans="1:7" ht="15.75" x14ac:dyDescent="0.25">
      <c r="A35" s="106" t="s">
        <v>513</v>
      </c>
      <c r="B35" s="203">
        <v>2365.27</v>
      </c>
      <c r="C35" s="21"/>
      <c r="D35" s="22">
        <v>0</v>
      </c>
      <c r="E35" s="3"/>
      <c r="F35" s="3"/>
      <c r="G35" s="3"/>
    </row>
    <row r="36" spans="1:7" ht="15.75" x14ac:dyDescent="0.25">
      <c r="A36" s="106" t="s">
        <v>514</v>
      </c>
      <c r="B36" s="203">
        <v>9267.91</v>
      </c>
      <c r="C36" s="21" t="s">
        <v>234</v>
      </c>
      <c r="D36" s="22">
        <v>0</v>
      </c>
      <c r="E36" s="3"/>
      <c r="F36" s="3"/>
      <c r="G36" s="3"/>
    </row>
    <row r="37" spans="1:7" ht="15.75" x14ac:dyDescent="0.25">
      <c r="A37" s="106" t="s">
        <v>515</v>
      </c>
      <c r="B37" s="204">
        <v>1893.98</v>
      </c>
      <c r="C37" s="21"/>
      <c r="D37" s="22">
        <v>0</v>
      </c>
      <c r="E37" s="3"/>
      <c r="F37" s="3"/>
      <c r="G37" s="3"/>
    </row>
    <row r="38" spans="1:7" s="34" customFormat="1" ht="47.25" x14ac:dyDescent="0.25">
      <c r="A38" s="31" t="s">
        <v>261</v>
      </c>
      <c r="B38" s="32">
        <f>SUM(B39:B41)</f>
        <v>6681.41</v>
      </c>
      <c r="C38" s="21"/>
      <c r="D38" s="22"/>
      <c r="E38" s="33"/>
      <c r="F38" s="33"/>
      <c r="G38" s="33"/>
    </row>
    <row r="39" spans="1:7" ht="15.75" x14ac:dyDescent="0.25">
      <c r="A39" s="35" t="s">
        <v>262</v>
      </c>
      <c r="B39" s="20">
        <v>651.54999999999995</v>
      </c>
      <c r="C39" s="39"/>
      <c r="D39" s="40"/>
      <c r="E39" s="3"/>
      <c r="F39" s="3"/>
      <c r="G39" s="3"/>
    </row>
    <row r="40" spans="1:7" ht="15.75" x14ac:dyDescent="0.25">
      <c r="A40" s="35" t="s">
        <v>263</v>
      </c>
      <c r="B40" s="20">
        <f>699.36+119.5</f>
        <v>818.86</v>
      </c>
      <c r="C40" s="39"/>
      <c r="D40" s="40"/>
      <c r="E40" s="3"/>
      <c r="F40" s="3"/>
      <c r="G40" s="3"/>
    </row>
    <row r="41" spans="1:7" ht="15.75" x14ac:dyDescent="0.25">
      <c r="A41" s="41" t="s">
        <v>264</v>
      </c>
      <c r="B41" s="20">
        <v>5211</v>
      </c>
      <c r="C41" s="39"/>
      <c r="D41" s="40"/>
      <c r="E41" s="3"/>
      <c r="F41" s="3"/>
      <c r="G41" s="3"/>
    </row>
    <row r="42" spans="1:7" s="8" customFormat="1" ht="15.75" x14ac:dyDescent="0.25">
      <c r="A42" s="31" t="s">
        <v>265</v>
      </c>
      <c r="B42" s="32">
        <f>SUM(B43:B45)</f>
        <v>12422.720000000001</v>
      </c>
      <c r="C42" s="21"/>
      <c r="D42" s="22"/>
    </row>
    <row r="43" spans="1:7" ht="15.75" customHeight="1" x14ac:dyDescent="0.25">
      <c r="A43" s="42" t="s">
        <v>542</v>
      </c>
      <c r="B43" s="23">
        <v>4200</v>
      </c>
      <c r="C43" s="21">
        <v>0</v>
      </c>
      <c r="D43" s="22">
        <v>522.99</v>
      </c>
      <c r="E43" s="3"/>
      <c r="F43" s="3"/>
      <c r="G43" s="3"/>
    </row>
    <row r="44" spans="1:7" ht="15.75" x14ac:dyDescent="0.25">
      <c r="A44" s="42" t="s">
        <v>275</v>
      </c>
      <c r="B44" s="23">
        <v>8133.61</v>
      </c>
      <c r="C44" s="21"/>
      <c r="D44" s="44"/>
      <c r="E44" s="3"/>
      <c r="F44" s="3"/>
      <c r="G44" s="3"/>
    </row>
    <row r="45" spans="1:7" ht="15.75" x14ac:dyDescent="0.25">
      <c r="A45" s="35" t="s">
        <v>282</v>
      </c>
      <c r="B45" s="47">
        <v>89.11</v>
      </c>
      <c r="C45" s="48"/>
      <c r="D45" s="40">
        <v>0</v>
      </c>
      <c r="E45" s="3"/>
      <c r="F45" s="3"/>
      <c r="G45" s="3"/>
    </row>
    <row r="46" spans="1:7" s="8" customFormat="1" ht="15.75" x14ac:dyDescent="0.25">
      <c r="A46" s="49" t="s">
        <v>286</v>
      </c>
      <c r="B46" s="32">
        <f>SUM(B47:B52)</f>
        <v>190833</v>
      </c>
      <c r="C46" s="39"/>
      <c r="D46" s="40"/>
    </row>
    <row r="47" spans="1:7" ht="15.75" hidden="1" x14ac:dyDescent="0.25">
      <c r="A47" s="35" t="s">
        <v>287</v>
      </c>
      <c r="B47" s="23">
        <v>0</v>
      </c>
      <c r="C47" s="39"/>
      <c r="D47" s="40"/>
      <c r="E47" s="3"/>
      <c r="F47" s="3"/>
      <c r="G47" s="3"/>
    </row>
    <row r="48" spans="1:7" ht="15.75" x14ac:dyDescent="0.25">
      <c r="A48" s="35" t="s">
        <v>288</v>
      </c>
      <c r="B48" s="20">
        <v>32654</v>
      </c>
      <c r="C48" s="39"/>
      <c r="D48" s="40"/>
      <c r="E48" s="3"/>
      <c r="F48" s="3"/>
      <c r="G48" s="3"/>
    </row>
    <row r="49" spans="1:4" ht="15.75" x14ac:dyDescent="0.25">
      <c r="A49" s="41" t="s">
        <v>291</v>
      </c>
      <c r="B49" s="20">
        <v>1896</v>
      </c>
      <c r="C49" s="39"/>
      <c r="D49" s="40"/>
    </row>
    <row r="50" spans="1:4" ht="15.75" x14ac:dyDescent="0.25">
      <c r="A50" s="41" t="s">
        <v>292</v>
      </c>
      <c r="B50" s="20">
        <v>14524</v>
      </c>
      <c r="C50" s="39"/>
      <c r="D50" s="40"/>
    </row>
    <row r="51" spans="1:4" ht="15.75" x14ac:dyDescent="0.25">
      <c r="A51" s="41" t="s">
        <v>293</v>
      </c>
      <c r="B51" s="20">
        <v>2301</v>
      </c>
      <c r="C51" s="39"/>
      <c r="D51" s="40"/>
    </row>
    <row r="52" spans="1:4" ht="15.75" x14ac:dyDescent="0.25">
      <c r="A52" s="41" t="s">
        <v>294</v>
      </c>
      <c r="B52" s="20">
        <v>139458</v>
      </c>
      <c r="C52" s="39"/>
      <c r="D52" s="40"/>
    </row>
    <row r="53" spans="1:4" ht="63" x14ac:dyDescent="0.25">
      <c r="A53" s="50" t="s">
        <v>295</v>
      </c>
      <c r="B53" s="32">
        <f>SUM(B54:B54)</f>
        <v>67831.522304000013</v>
      </c>
      <c r="C53" s="39"/>
      <c r="D53" s="40"/>
    </row>
    <row r="54" spans="1:4" ht="15.75" x14ac:dyDescent="0.25">
      <c r="A54" s="41" t="s">
        <v>296</v>
      </c>
      <c r="B54" s="20">
        <f>58234.48*1.04*1.12</f>
        <v>67831.522304000013</v>
      </c>
      <c r="C54" s="39"/>
      <c r="D54" s="40"/>
    </row>
    <row r="55" spans="1:4" s="8" customFormat="1" ht="15.75" x14ac:dyDescent="0.25">
      <c r="A55" s="49" t="s">
        <v>297</v>
      </c>
      <c r="B55" s="32">
        <f>SUM(B56:B59)</f>
        <v>24484.53</v>
      </c>
      <c r="C55" s="39"/>
      <c r="D55" s="40"/>
    </row>
    <row r="56" spans="1:4" ht="15.75" x14ac:dyDescent="0.25">
      <c r="A56" s="51" t="s">
        <v>298</v>
      </c>
      <c r="B56" s="20">
        <v>18456</v>
      </c>
      <c r="C56" s="39"/>
      <c r="D56" s="40"/>
    </row>
    <row r="57" spans="1:4" ht="15.75" hidden="1" x14ac:dyDescent="0.25">
      <c r="A57" s="51" t="s">
        <v>299</v>
      </c>
      <c r="B57" s="23">
        <f>(B26/1.2)*30%</f>
        <v>0</v>
      </c>
      <c r="C57" s="39"/>
      <c r="D57" s="40"/>
    </row>
    <row r="58" spans="1:4" ht="15.75" x14ac:dyDescent="0.25">
      <c r="A58" s="52" t="s">
        <v>300</v>
      </c>
      <c r="B58" s="20">
        <f>2042.5+2741.03</f>
        <v>4783.5300000000007</v>
      </c>
      <c r="C58" s="39"/>
      <c r="D58" s="40"/>
    </row>
    <row r="59" spans="1:4" ht="15.75" x14ac:dyDescent="0.25">
      <c r="A59" s="52" t="s">
        <v>301</v>
      </c>
      <c r="B59" s="20">
        <v>1245</v>
      </c>
      <c r="C59" s="39"/>
      <c r="D59" s="40"/>
    </row>
    <row r="60" spans="1:4" ht="15.75" x14ac:dyDescent="0.25">
      <c r="A60" s="53" t="s">
        <v>302</v>
      </c>
      <c r="B60" s="25">
        <f>B32+B38+B42+B46+B53+B55</f>
        <v>405753.99230400007</v>
      </c>
      <c r="C60" s="39"/>
      <c r="D60" s="40"/>
    </row>
    <row r="61" spans="1:4" ht="15.75" x14ac:dyDescent="0.25">
      <c r="A61" s="54" t="s">
        <v>303</v>
      </c>
      <c r="B61" s="20">
        <f>B60*0.03</f>
        <v>12172.619769120001</v>
      </c>
      <c r="C61" s="39"/>
      <c r="D61" s="40"/>
    </row>
    <row r="62" spans="1:4" s="34" customFormat="1" ht="15.75" x14ac:dyDescent="0.25">
      <c r="A62" s="55" t="s">
        <v>304</v>
      </c>
      <c r="B62" s="32">
        <f>B60+B61</f>
        <v>417926.61207312008</v>
      </c>
      <c r="C62" s="39"/>
      <c r="D62" s="40"/>
    </row>
    <row r="63" spans="1:4" ht="16.5" thickBot="1" x14ac:dyDescent="0.3">
      <c r="A63" s="56" t="s">
        <v>305</v>
      </c>
      <c r="B63" s="57">
        <f>B62*0.2</f>
        <v>83585.322414624025</v>
      </c>
      <c r="C63" s="39"/>
      <c r="D63" s="40"/>
    </row>
    <row r="64" spans="1:4" s="8" customFormat="1" ht="16.5" thickBot="1" x14ac:dyDescent="0.3">
      <c r="A64" s="58" t="s">
        <v>306</v>
      </c>
      <c r="B64" s="59">
        <f>B62+B63</f>
        <v>501511.93448774412</v>
      </c>
      <c r="C64" s="60"/>
      <c r="D64" s="61"/>
    </row>
    <row r="65" spans="1:4" s="8" customFormat="1" ht="16.5" thickBot="1" x14ac:dyDescent="0.3">
      <c r="A65" s="62" t="s">
        <v>307</v>
      </c>
      <c r="B65" s="59">
        <f>B10+B24+B26+B28+B29-B64</f>
        <v>-1133226.3744877442</v>
      </c>
      <c r="C65" s="63"/>
      <c r="D65" s="63"/>
    </row>
    <row r="66" spans="1:4" s="8" customFormat="1" ht="16.5" thickBot="1" x14ac:dyDescent="0.3">
      <c r="A66" s="64" t="s">
        <v>308</v>
      </c>
      <c r="B66" s="59">
        <f>B10+B25+B27++B28+B29-B64</f>
        <v>-1275476.194487744</v>
      </c>
      <c r="C66" s="63"/>
      <c r="D66" s="63"/>
    </row>
    <row r="67" spans="1:4" s="8" customFormat="1" ht="16.5" hidden="1" thickBot="1" x14ac:dyDescent="0.3">
      <c r="A67" s="65" t="s">
        <v>309</v>
      </c>
      <c r="B67" s="66">
        <f>B11+B24-B25</f>
        <v>142249.81999999995</v>
      </c>
      <c r="C67" s="63"/>
      <c r="D67" s="63"/>
    </row>
    <row r="68" spans="1:4" s="8" customFormat="1" ht="15.75" x14ac:dyDescent="0.25">
      <c r="A68" s="67"/>
      <c r="B68" s="68"/>
      <c r="C68" s="63"/>
      <c r="D68" s="63"/>
    </row>
    <row r="69" spans="1:4" ht="15.75" x14ac:dyDescent="0.25">
      <c r="A69" s="69"/>
      <c r="B69" s="70"/>
      <c r="C69" s="3"/>
      <c r="D69" s="3"/>
    </row>
    <row r="70" spans="1:4" ht="15.75" x14ac:dyDescent="0.25">
      <c r="A70" s="309" t="s">
        <v>310</v>
      </c>
      <c r="B70" s="310"/>
      <c r="C70" s="3"/>
      <c r="D70" s="3"/>
    </row>
    <row r="71" spans="1:4" ht="15.75" x14ac:dyDescent="0.25">
      <c r="A71" s="69"/>
      <c r="B71" s="71"/>
      <c r="C71" s="3"/>
      <c r="D71" s="3"/>
    </row>
    <row r="72" spans="1:4" ht="15.75" x14ac:dyDescent="0.25">
      <c r="A72" s="311"/>
      <c r="B72" s="312"/>
      <c r="C72" s="72"/>
      <c r="D72" s="3"/>
    </row>
    <row r="87" spans="2:2" x14ac:dyDescent="0.2">
      <c r="B87" s="298"/>
    </row>
    <row r="89" spans="2:2" ht="15.75" hidden="1" x14ac:dyDescent="0.25">
      <c r="B89" s="70"/>
    </row>
    <row r="90" spans="2:2" ht="15.75" x14ac:dyDescent="0.25">
      <c r="B90" s="70"/>
    </row>
  </sheetData>
  <autoFilter ref="A32:B67" xr:uid="{00000000-0009-0000-0000-000026000000}">
    <filterColumn colId="1">
      <filters>
        <filter val="1 184,94"/>
        <filter val="1 488,26"/>
        <filter val="1 489,04"/>
        <filter val="1 863,40"/>
        <filter val="11 459,92"/>
        <filter val="12 167,98"/>
        <filter val="12 218,99"/>
        <filter val="15 216,33"/>
        <filter val="2 884,40"/>
        <filter val="21 976,81"/>
        <filter val="252 450,21"/>
        <filter val="26 767,25"/>
        <filter val="260 023,71"/>
        <filter val="312 028,46"/>
        <filter val="33 012,89"/>
        <filter val="35 258,00"/>
        <filter val="37 881,27"/>
        <filter val="505,75"/>
        <filter val="51 354,04"/>
        <filter val="52 004,74"/>
        <filter val="58 234,48"/>
        <filter val="7 573,51"/>
        <filter val="7 785,17"/>
        <filter val="76 056,06"/>
        <filter val="8 754,20"/>
        <filter val="-969 426,87"/>
        <filter val="983,29"/>
        <filter val="-991 403,68"/>
      </filters>
    </filterColumn>
  </autoFilter>
  <mergeCells count="9">
    <mergeCell ref="D8:D9"/>
    <mergeCell ref="A70:B70"/>
    <mergeCell ref="A72:B72"/>
    <mergeCell ref="A1:B1"/>
    <mergeCell ref="A2:B2"/>
    <mergeCell ref="A3:B3"/>
    <mergeCell ref="A8:A9"/>
    <mergeCell ref="B8:B9"/>
    <mergeCell ref="C8:C9"/>
  </mergeCells>
  <phoneticPr fontId="43" type="noConversion"/>
  <pageMargins left="0.9055118110236221" right="0.9055118110236221" top="0.74803149606299213" bottom="0.74803149606299213" header="0.31496062992125984" footer="0.31496062992125984"/>
  <pageSetup paperSize="9" scale="7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pageSetUpPr fitToPage="1"/>
  </sheetPr>
  <dimension ref="A1:G93"/>
  <sheetViews>
    <sheetView view="pageBreakPreview" topLeftCell="A41" zoomScale="80" zoomScaleNormal="100" zoomScaleSheetLayoutView="80" workbookViewId="0">
      <selection activeCell="B80" sqref="B80"/>
    </sheetView>
  </sheetViews>
  <sheetFormatPr defaultRowHeight="15.75" x14ac:dyDescent="0.25"/>
  <cols>
    <col min="1" max="1" width="91.5703125" style="3" customWidth="1"/>
    <col min="2" max="2" width="15" style="70" customWidth="1"/>
    <col min="3" max="4" width="13.85546875" style="3" customWidth="1"/>
    <col min="5" max="5" width="14.140625" style="3" customWidth="1"/>
    <col min="6" max="6" width="11.140625" style="3" customWidth="1"/>
    <col min="7" max="7" width="12.42578125" style="3" bestFit="1" customWidth="1"/>
    <col min="8" max="16384" width="9.140625" style="3"/>
  </cols>
  <sheetData>
    <row r="1" spans="1:4" ht="16.5" customHeight="1" x14ac:dyDescent="0.25">
      <c r="A1" s="313" t="s">
        <v>224</v>
      </c>
      <c r="B1" s="314"/>
    </row>
    <row r="2" spans="1:4" ht="16.5" x14ac:dyDescent="0.25">
      <c r="A2" s="315" t="s">
        <v>225</v>
      </c>
      <c r="B2" s="316"/>
    </row>
    <row r="3" spans="1:4" ht="16.5" x14ac:dyDescent="0.25">
      <c r="A3" s="315" t="s">
        <v>226</v>
      </c>
      <c r="B3" s="316"/>
    </row>
    <row r="4" spans="1:4" x14ac:dyDescent="0.25">
      <c r="A4" s="4" t="s">
        <v>516</v>
      </c>
      <c r="B4" s="5"/>
    </row>
    <row r="5" spans="1:4" ht="18" customHeight="1" x14ac:dyDescent="0.25">
      <c r="A5" s="4" t="s">
        <v>3</v>
      </c>
      <c r="B5" s="6"/>
    </row>
    <row r="6" spans="1:4" ht="18" customHeight="1" x14ac:dyDescent="0.25">
      <c r="A6" s="4"/>
      <c r="B6" s="7"/>
      <c r="C6" s="8"/>
    </row>
    <row r="7" spans="1:4" ht="18" customHeight="1" thickBot="1" x14ac:dyDescent="0.3">
      <c r="A7" s="9"/>
      <c r="B7" s="7"/>
      <c r="C7" s="8"/>
    </row>
    <row r="8" spans="1:4" ht="18" customHeight="1" x14ac:dyDescent="0.25">
      <c r="A8" s="317" t="s">
        <v>227</v>
      </c>
      <c r="B8" s="319" t="s">
        <v>228</v>
      </c>
      <c r="C8" s="307" t="s">
        <v>229</v>
      </c>
      <c r="D8" s="307" t="s">
        <v>230</v>
      </c>
    </row>
    <row r="9" spans="1:4" ht="18" customHeight="1" thickBot="1" x14ac:dyDescent="0.3">
      <c r="A9" s="318"/>
      <c r="B9" s="320"/>
      <c r="C9" s="308"/>
      <c r="D9" s="308"/>
    </row>
    <row r="10" spans="1:4" ht="16.5" thickBot="1" x14ac:dyDescent="0.3">
      <c r="A10" s="10" t="s">
        <v>231</v>
      </c>
      <c r="B10" s="301">
        <f>VLOOKUP(A5,мкд!S:T,2,FALSE)</f>
        <v>35053.72</v>
      </c>
      <c r="C10" s="12"/>
      <c r="D10" s="12"/>
    </row>
    <row r="11" spans="1:4" ht="16.5" hidden="1" thickBot="1" x14ac:dyDescent="0.3">
      <c r="A11" s="13" t="s">
        <v>232</v>
      </c>
      <c r="B11" s="11"/>
      <c r="C11" s="14"/>
      <c r="D11" s="14"/>
    </row>
    <row r="12" spans="1:4" x14ac:dyDescent="0.25">
      <c r="A12" s="15" t="s">
        <v>233</v>
      </c>
      <c r="B12" s="16"/>
      <c r="C12" s="17" t="s">
        <v>234</v>
      </c>
      <c r="D12" s="18" t="s">
        <v>234</v>
      </c>
    </row>
    <row r="13" spans="1:4" hidden="1" x14ac:dyDescent="0.25">
      <c r="A13" s="19" t="s">
        <v>235</v>
      </c>
      <c r="B13" s="20">
        <v>1257</v>
      </c>
      <c r="C13" s="21" t="s">
        <v>234</v>
      </c>
      <c r="D13" s="22" t="s">
        <v>234</v>
      </c>
    </row>
    <row r="14" spans="1:4" hidden="1" x14ac:dyDescent="0.25">
      <c r="A14" s="19" t="s">
        <v>236</v>
      </c>
      <c r="B14" s="20">
        <v>0</v>
      </c>
      <c r="C14" s="21"/>
      <c r="D14" s="22"/>
    </row>
    <row r="15" spans="1:4" x14ac:dyDescent="0.25">
      <c r="A15" s="19" t="s">
        <v>237</v>
      </c>
      <c r="B15" s="20">
        <f>B13+B14</f>
        <v>1257</v>
      </c>
      <c r="C15" s="21"/>
      <c r="D15" s="22"/>
    </row>
    <row r="16" spans="1:4" x14ac:dyDescent="0.25">
      <c r="A16" s="19" t="s">
        <v>238</v>
      </c>
      <c r="B16" s="20">
        <f>1232.6+1749/3</f>
        <v>1815.6</v>
      </c>
      <c r="C16" s="21" t="s">
        <v>234</v>
      </c>
      <c r="D16" s="22" t="s">
        <v>234</v>
      </c>
    </row>
    <row r="17" spans="1:7" hidden="1" x14ac:dyDescent="0.25">
      <c r="A17" s="19" t="s">
        <v>239</v>
      </c>
      <c r="B17" s="20">
        <v>0</v>
      </c>
      <c r="C17" s="21" t="s">
        <v>234</v>
      </c>
      <c r="D17" s="22" t="s">
        <v>234</v>
      </c>
    </row>
    <row r="18" spans="1:7" hidden="1" x14ac:dyDescent="0.25">
      <c r="A18" s="19" t="s">
        <v>240</v>
      </c>
      <c r="B18" s="20">
        <v>35.700000000000003</v>
      </c>
      <c r="C18" s="21" t="s">
        <v>234</v>
      </c>
      <c r="D18" s="22" t="s">
        <v>234</v>
      </c>
    </row>
    <row r="19" spans="1:7" hidden="1" x14ac:dyDescent="0.25">
      <c r="A19" s="19" t="s">
        <v>241</v>
      </c>
      <c r="B19" s="20">
        <v>0</v>
      </c>
      <c r="C19" s="21" t="s">
        <v>234</v>
      </c>
      <c r="D19" s="22" t="s">
        <v>234</v>
      </c>
    </row>
    <row r="20" spans="1:7" hidden="1" x14ac:dyDescent="0.25">
      <c r="A20" s="19" t="s">
        <v>242</v>
      </c>
      <c r="B20" s="20">
        <v>751</v>
      </c>
      <c r="C20" s="21"/>
      <c r="D20" s="22"/>
    </row>
    <row r="21" spans="1:7" hidden="1" x14ac:dyDescent="0.25">
      <c r="A21" s="19" t="s">
        <v>243</v>
      </c>
      <c r="B21" s="20">
        <v>0</v>
      </c>
      <c r="C21" s="21" t="s">
        <v>234</v>
      </c>
      <c r="D21" s="22" t="s">
        <v>234</v>
      </c>
    </row>
    <row r="22" spans="1:7" hidden="1" x14ac:dyDescent="0.25">
      <c r="A22" s="19" t="s">
        <v>244</v>
      </c>
      <c r="B22" s="20">
        <v>63</v>
      </c>
      <c r="C22" s="21"/>
      <c r="D22" s="22"/>
    </row>
    <row r="23" spans="1:7" x14ac:dyDescent="0.25">
      <c r="A23" s="19"/>
      <c r="B23" s="20"/>
      <c r="C23" s="21"/>
      <c r="D23" s="22"/>
      <c r="E23" s="3">
        <v>10</v>
      </c>
      <c r="F23" s="3">
        <v>2</v>
      </c>
    </row>
    <row r="24" spans="1:7" x14ac:dyDescent="0.25">
      <c r="A24" s="24" t="s">
        <v>245</v>
      </c>
      <c r="B24" s="25">
        <f>VLOOKUP(A5,[1]Лист1!M$1:N$65536,2,FALSE)</f>
        <v>309222.59999999998</v>
      </c>
      <c r="C24" s="21"/>
      <c r="D24" s="22"/>
      <c r="E24" s="26">
        <v>20.100000000000001</v>
      </c>
      <c r="F24" s="27">
        <v>22.499940000000002</v>
      </c>
    </row>
    <row r="25" spans="1:7" x14ac:dyDescent="0.25">
      <c r="A25" s="24" t="s">
        <v>246</v>
      </c>
      <c r="B25" s="25">
        <f>VLOOKUP(A5,[1]Лист1!M$1:O$65536,3,FALSE)</f>
        <v>294687.95</v>
      </c>
      <c r="C25" s="21"/>
      <c r="D25" s="22"/>
    </row>
    <row r="26" spans="1:7" hidden="1" x14ac:dyDescent="0.25">
      <c r="A26" s="24" t="s">
        <v>247</v>
      </c>
      <c r="B26" s="25"/>
      <c r="C26" s="21"/>
      <c r="D26" s="22"/>
    </row>
    <row r="27" spans="1:7" hidden="1" x14ac:dyDescent="0.25">
      <c r="A27" s="24" t="s">
        <v>248</v>
      </c>
      <c r="B27" s="25">
        <f>B26</f>
        <v>0</v>
      </c>
      <c r="C27" s="21"/>
      <c r="D27" s="22"/>
    </row>
    <row r="28" spans="1:7" hidden="1" x14ac:dyDescent="0.25">
      <c r="A28" s="24" t="s">
        <v>249</v>
      </c>
      <c r="B28" s="25"/>
      <c r="C28" s="21"/>
      <c r="D28" s="22"/>
    </row>
    <row r="29" spans="1:7" hidden="1" x14ac:dyDescent="0.25">
      <c r="A29" s="24" t="s">
        <v>250</v>
      </c>
      <c r="B29" s="20"/>
      <c r="C29" s="21"/>
      <c r="D29" s="22"/>
    </row>
    <row r="30" spans="1:7" x14ac:dyDescent="0.25">
      <c r="A30" s="29"/>
      <c r="B30" s="20"/>
      <c r="C30" s="21"/>
      <c r="D30" s="22"/>
    </row>
    <row r="31" spans="1:7" x14ac:dyDescent="0.25">
      <c r="A31" s="30" t="s">
        <v>251</v>
      </c>
      <c r="B31" s="20"/>
      <c r="C31" s="21"/>
      <c r="D31" s="22"/>
    </row>
    <row r="32" spans="1:7" s="34" customFormat="1" ht="31.5" x14ac:dyDescent="0.25">
      <c r="A32" s="31" t="s">
        <v>252</v>
      </c>
      <c r="B32" s="32">
        <f>SUM(B33:B40)</f>
        <v>118839.62</v>
      </c>
      <c r="C32" s="21"/>
      <c r="D32" s="22"/>
      <c r="E32" s="33">
        <f>(B24-B85)/1.2/1.03</f>
        <v>-127692.61451262144</v>
      </c>
      <c r="F32" s="33" t="e">
        <f>(#REF!-#REF!)/1.2/1.03</f>
        <v>#REF!</v>
      </c>
      <c r="G32" s="33" t="e">
        <f>(#REF!-#REF!)/1.2/1.03</f>
        <v>#REF!</v>
      </c>
    </row>
    <row r="33" spans="1:7" x14ac:dyDescent="0.25">
      <c r="A33" s="35" t="s">
        <v>253</v>
      </c>
      <c r="B33" s="20">
        <v>19231</v>
      </c>
      <c r="C33" s="21"/>
      <c r="D33" s="22">
        <v>0</v>
      </c>
    </row>
    <row r="34" spans="1:7" hidden="1" x14ac:dyDescent="0.25">
      <c r="A34" s="35" t="s">
        <v>254</v>
      </c>
      <c r="B34" s="23">
        <v>0</v>
      </c>
      <c r="C34" s="21"/>
      <c r="D34" s="22">
        <v>0</v>
      </c>
    </row>
    <row r="35" spans="1:7" x14ac:dyDescent="0.25">
      <c r="A35" s="35" t="s">
        <v>255</v>
      </c>
      <c r="B35" s="20">
        <v>26804.09</v>
      </c>
      <c r="C35" s="21"/>
      <c r="D35" s="22">
        <v>0</v>
      </c>
    </row>
    <row r="36" spans="1:7" x14ac:dyDescent="0.25">
      <c r="A36" s="73" t="s">
        <v>311</v>
      </c>
      <c r="B36" s="74">
        <f>61137.34+11296.34</f>
        <v>72433.679999999993</v>
      </c>
      <c r="C36" s="21" t="s">
        <v>234</v>
      </c>
      <c r="D36" s="22">
        <v>0</v>
      </c>
    </row>
    <row r="37" spans="1:7" x14ac:dyDescent="0.25">
      <c r="A37" s="75" t="s">
        <v>260</v>
      </c>
      <c r="B37" s="76">
        <v>370.85</v>
      </c>
      <c r="C37" s="21"/>
      <c r="D37" s="22">
        <v>0</v>
      </c>
    </row>
    <row r="38" spans="1:7" hidden="1" x14ac:dyDescent="0.25">
      <c r="A38" s="35" t="s">
        <v>259</v>
      </c>
      <c r="B38" s="23">
        <v>0</v>
      </c>
      <c r="C38" s="21"/>
      <c r="D38" s="22">
        <v>0</v>
      </c>
    </row>
    <row r="39" spans="1:7" hidden="1" x14ac:dyDescent="0.25">
      <c r="A39" s="35" t="s">
        <v>312</v>
      </c>
      <c r="B39" s="23">
        <v>0</v>
      </c>
      <c r="C39" s="21"/>
      <c r="D39" s="22"/>
    </row>
    <row r="40" spans="1:7" hidden="1" x14ac:dyDescent="0.25">
      <c r="A40" s="35" t="s">
        <v>313</v>
      </c>
      <c r="B40" s="23">
        <v>0</v>
      </c>
      <c r="C40" s="21"/>
      <c r="D40" s="22"/>
    </row>
    <row r="41" spans="1:7" s="34" customFormat="1" ht="47.25" x14ac:dyDescent="0.25">
      <c r="A41" s="31" t="s">
        <v>261</v>
      </c>
      <c r="B41" s="32">
        <f>SUM(B42:B44)</f>
        <v>8509</v>
      </c>
      <c r="C41" s="21"/>
      <c r="D41" s="22"/>
      <c r="E41" s="33"/>
      <c r="F41" s="33"/>
      <c r="G41" s="33"/>
    </row>
    <row r="42" spans="1:7" hidden="1" x14ac:dyDescent="0.25">
      <c r="A42" s="35" t="s">
        <v>262</v>
      </c>
      <c r="B42" s="20"/>
      <c r="C42" s="39"/>
      <c r="D42" s="40"/>
    </row>
    <row r="43" spans="1:7" x14ac:dyDescent="0.25">
      <c r="A43" s="35" t="s">
        <v>263</v>
      </c>
      <c r="B43" s="20">
        <v>508</v>
      </c>
      <c r="C43" s="39"/>
      <c r="D43" s="40"/>
    </row>
    <row r="44" spans="1:7" x14ac:dyDescent="0.25">
      <c r="A44" s="41" t="s">
        <v>264</v>
      </c>
      <c r="B44" s="20">
        <v>8001</v>
      </c>
      <c r="C44" s="39"/>
      <c r="D44" s="40"/>
    </row>
    <row r="45" spans="1:7" s="8" customFormat="1" x14ac:dyDescent="0.25">
      <c r="A45" s="31" t="s">
        <v>265</v>
      </c>
      <c r="B45" s="32">
        <f>SUM(B46:B64)</f>
        <v>19473.45</v>
      </c>
      <c r="C45" s="21"/>
      <c r="D45" s="22"/>
    </row>
    <row r="46" spans="1:7" x14ac:dyDescent="0.25">
      <c r="A46" s="35" t="s">
        <v>266</v>
      </c>
      <c r="B46" s="20">
        <v>149.88</v>
      </c>
      <c r="C46" s="21"/>
      <c r="D46" s="22"/>
      <c r="E46" s="3" t="s">
        <v>267</v>
      </c>
    </row>
    <row r="47" spans="1:7" hidden="1" x14ac:dyDescent="0.25">
      <c r="A47" s="35" t="s">
        <v>268</v>
      </c>
      <c r="B47" s="23"/>
      <c r="C47" s="21"/>
      <c r="D47" s="22"/>
      <c r="E47" s="3" t="s">
        <v>269</v>
      </c>
    </row>
    <row r="48" spans="1:7" hidden="1" x14ac:dyDescent="0.25">
      <c r="A48" s="42" t="s">
        <v>270</v>
      </c>
      <c r="B48" s="22">
        <v>0</v>
      </c>
      <c r="C48" s="21"/>
      <c r="D48" s="22"/>
    </row>
    <row r="49" spans="1:5" hidden="1" x14ac:dyDescent="0.25">
      <c r="A49" s="42" t="s">
        <v>271</v>
      </c>
      <c r="B49" s="22">
        <v>0</v>
      </c>
      <c r="C49" s="21"/>
      <c r="D49" s="22"/>
    </row>
    <row r="50" spans="1:5" hidden="1" x14ac:dyDescent="0.25">
      <c r="A50" s="42" t="s">
        <v>272</v>
      </c>
      <c r="B50" s="22">
        <v>0</v>
      </c>
      <c r="C50" s="21"/>
      <c r="D50" s="22"/>
    </row>
    <row r="51" spans="1:5" hidden="1" x14ac:dyDescent="0.25">
      <c r="A51" s="42" t="s">
        <v>273</v>
      </c>
      <c r="B51" s="22"/>
      <c r="C51" s="21"/>
      <c r="D51" s="22"/>
    </row>
    <row r="52" spans="1:5" hidden="1" x14ac:dyDescent="0.25">
      <c r="A52" s="42" t="s">
        <v>274</v>
      </c>
      <c r="B52" s="23">
        <v>0</v>
      </c>
      <c r="C52" s="21">
        <v>0</v>
      </c>
      <c r="D52" s="22">
        <v>522.99</v>
      </c>
    </row>
    <row r="53" spans="1:5" hidden="1" x14ac:dyDescent="0.25">
      <c r="A53" s="42" t="s">
        <v>275</v>
      </c>
      <c r="B53" s="23">
        <v>0</v>
      </c>
      <c r="C53" s="21"/>
      <c r="D53" s="44"/>
    </row>
    <row r="54" spans="1:5" hidden="1" x14ac:dyDescent="0.25">
      <c r="A54" s="42" t="s">
        <v>276</v>
      </c>
      <c r="B54" s="23">
        <v>0</v>
      </c>
      <c r="C54" s="21"/>
      <c r="D54" s="44"/>
    </row>
    <row r="55" spans="1:5" hidden="1" x14ac:dyDescent="0.25">
      <c r="A55" s="42" t="s">
        <v>277</v>
      </c>
      <c r="B55" s="23">
        <v>0</v>
      </c>
      <c r="C55" s="21">
        <v>0</v>
      </c>
      <c r="D55" s="22">
        <f>10695.76/1.18</f>
        <v>9064.203389830509</v>
      </c>
    </row>
    <row r="56" spans="1:5" hidden="1" x14ac:dyDescent="0.25">
      <c r="A56" s="42" t="s">
        <v>314</v>
      </c>
      <c r="B56" s="23">
        <v>0</v>
      </c>
      <c r="C56" s="21">
        <v>0</v>
      </c>
      <c r="D56" s="22">
        <f>2300/1.18</f>
        <v>1949.1525423728815</v>
      </c>
    </row>
    <row r="57" spans="1:5" hidden="1" x14ac:dyDescent="0.25">
      <c r="A57" s="42" t="s">
        <v>315</v>
      </c>
      <c r="B57" s="23">
        <v>0</v>
      </c>
      <c r="C57" s="21">
        <v>0</v>
      </c>
      <c r="D57" s="22">
        <v>0</v>
      </c>
    </row>
    <row r="58" spans="1:5" hidden="1" x14ac:dyDescent="0.25">
      <c r="A58" s="42" t="s">
        <v>279</v>
      </c>
      <c r="B58" s="20"/>
      <c r="C58" s="21"/>
      <c r="D58" s="22"/>
    </row>
    <row r="59" spans="1:5" hidden="1" x14ac:dyDescent="0.25">
      <c r="A59" s="35" t="s">
        <v>280</v>
      </c>
      <c r="B59" s="23">
        <v>0</v>
      </c>
      <c r="C59" s="21"/>
      <c r="D59" s="22"/>
    </row>
    <row r="60" spans="1:5" hidden="1" x14ac:dyDescent="0.25">
      <c r="A60" s="35" t="s">
        <v>316</v>
      </c>
      <c r="B60" s="20"/>
      <c r="C60" s="21"/>
      <c r="D60" s="22">
        <v>0</v>
      </c>
    </row>
    <row r="61" spans="1:5" x14ac:dyDescent="0.25">
      <c r="A61" s="35" t="s">
        <v>317</v>
      </c>
      <c r="B61" s="20">
        <v>182.1</v>
      </c>
      <c r="C61" s="21"/>
      <c r="D61" s="22">
        <v>0</v>
      </c>
    </row>
    <row r="62" spans="1:5" x14ac:dyDescent="0.25">
      <c r="A62" s="35" t="s">
        <v>283</v>
      </c>
      <c r="B62" s="45">
        <v>19141.47</v>
      </c>
      <c r="C62" s="46">
        <v>1</v>
      </c>
      <c r="D62" s="22">
        <v>0</v>
      </c>
    </row>
    <row r="63" spans="1:5" hidden="1" x14ac:dyDescent="0.25">
      <c r="A63" s="35" t="s">
        <v>284</v>
      </c>
      <c r="B63" s="47">
        <v>0</v>
      </c>
      <c r="C63" s="46">
        <v>36</v>
      </c>
      <c r="D63" s="22">
        <v>1</v>
      </c>
      <c r="E63" s="3">
        <v>1</v>
      </c>
    </row>
    <row r="64" spans="1:5" ht="17.25" customHeight="1" x14ac:dyDescent="0.25">
      <c r="A64" s="35" t="s">
        <v>282</v>
      </c>
      <c r="B64" s="47">
        <v>0</v>
      </c>
      <c r="C64" s="48"/>
      <c r="D64" s="40">
        <v>0</v>
      </c>
    </row>
    <row r="65" spans="1:4" s="8" customFormat="1" x14ac:dyDescent="0.25">
      <c r="A65" s="49" t="s">
        <v>286</v>
      </c>
      <c r="B65" s="32">
        <f>SUM(B66:B73)</f>
        <v>129618.29120000002</v>
      </c>
      <c r="C65" s="39"/>
      <c r="D65" s="40"/>
    </row>
    <row r="66" spans="1:4" hidden="1" x14ac:dyDescent="0.25">
      <c r="A66" s="35" t="s">
        <v>287</v>
      </c>
      <c r="B66" s="20">
        <v>0</v>
      </c>
      <c r="C66" s="39"/>
      <c r="D66" s="40"/>
    </row>
    <row r="67" spans="1:4" x14ac:dyDescent="0.25">
      <c r="A67" s="35" t="s">
        <v>288</v>
      </c>
      <c r="B67" s="20">
        <f>70184*1.04*1.12</f>
        <v>81750.323200000013</v>
      </c>
      <c r="C67" s="39"/>
      <c r="D67" s="40"/>
    </row>
    <row r="68" spans="1:4" hidden="1" x14ac:dyDescent="0.25">
      <c r="A68" s="35" t="s">
        <v>289</v>
      </c>
      <c r="B68" s="20">
        <v>0</v>
      </c>
      <c r="C68" s="39"/>
      <c r="D68" s="40"/>
    </row>
    <row r="69" spans="1:4" x14ac:dyDescent="0.25">
      <c r="A69" s="41" t="s">
        <v>290</v>
      </c>
      <c r="B69" s="20">
        <v>721</v>
      </c>
      <c r="C69" s="39"/>
      <c r="D69" s="40"/>
    </row>
    <row r="70" spans="1:4" x14ac:dyDescent="0.25">
      <c r="A70" s="41" t="s">
        <v>291</v>
      </c>
      <c r="B70" s="20">
        <v>8231</v>
      </c>
      <c r="C70" s="39"/>
      <c r="D70" s="40"/>
    </row>
    <row r="71" spans="1:4" x14ac:dyDescent="0.25">
      <c r="A71" s="41" t="s">
        <v>292</v>
      </c>
      <c r="B71" s="20">
        <f>12838*1.04*1.12</f>
        <v>14953.702400000002</v>
      </c>
      <c r="C71" s="39"/>
      <c r="D71" s="40"/>
    </row>
    <row r="72" spans="1:4" x14ac:dyDescent="0.25">
      <c r="A72" s="41" t="s">
        <v>293</v>
      </c>
      <c r="B72" s="20">
        <f>2178*1.04*1.12</f>
        <v>2536.9344000000001</v>
      </c>
      <c r="C72" s="39"/>
      <c r="D72" s="40"/>
    </row>
    <row r="73" spans="1:4" x14ac:dyDescent="0.25">
      <c r="A73" s="41" t="s">
        <v>294</v>
      </c>
      <c r="B73" s="20">
        <f>18394*1.04*1.12</f>
        <v>21425.331200000004</v>
      </c>
      <c r="C73" s="39"/>
      <c r="D73" s="40"/>
    </row>
    <row r="74" spans="1:4" ht="63" x14ac:dyDescent="0.25">
      <c r="A74" s="50" t="s">
        <v>295</v>
      </c>
      <c r="B74" s="32">
        <f>SUM(B75:B75)</f>
        <v>62925.99040000001</v>
      </c>
      <c r="C74" s="39"/>
      <c r="D74" s="40"/>
    </row>
    <row r="75" spans="1:4" x14ac:dyDescent="0.25">
      <c r="A75" s="41" t="s">
        <v>296</v>
      </c>
      <c r="B75" s="20">
        <f>54023*1.04*1.12</f>
        <v>62925.99040000001</v>
      </c>
      <c r="C75" s="39"/>
      <c r="D75" s="40"/>
    </row>
    <row r="76" spans="1:4" s="8" customFormat="1" x14ac:dyDescent="0.25">
      <c r="A76" s="49" t="s">
        <v>297</v>
      </c>
      <c r="B76" s="32">
        <f>SUM(B77:B80)</f>
        <v>38506.36</v>
      </c>
      <c r="C76" s="39"/>
      <c r="D76" s="40"/>
    </row>
    <row r="77" spans="1:4" x14ac:dyDescent="0.25">
      <c r="A77" s="51" t="s">
        <v>298</v>
      </c>
      <c r="B77" s="20">
        <v>28423</v>
      </c>
      <c r="C77" s="39"/>
      <c r="D77" s="40"/>
    </row>
    <row r="78" spans="1:4" hidden="1" x14ac:dyDescent="0.25">
      <c r="A78" s="51" t="s">
        <v>299</v>
      </c>
      <c r="B78" s="20">
        <f>(B26/1.2)*30%</f>
        <v>0</v>
      </c>
      <c r="C78" s="39"/>
      <c r="D78" s="40"/>
    </row>
    <row r="79" spans="1:4" x14ac:dyDescent="0.25">
      <c r="A79" s="52" t="s">
        <v>300</v>
      </c>
      <c r="B79" s="20">
        <f>3030.36+2490</f>
        <v>5520.3600000000006</v>
      </c>
      <c r="C79" s="39"/>
      <c r="D79" s="40"/>
    </row>
    <row r="80" spans="1:4" x14ac:dyDescent="0.25">
      <c r="A80" s="52" t="s">
        <v>301</v>
      </c>
      <c r="B80" s="20">
        <v>4563</v>
      </c>
      <c r="C80" s="39"/>
      <c r="D80" s="40"/>
    </row>
    <row r="81" spans="1:4" x14ac:dyDescent="0.25">
      <c r="A81" s="53" t="s">
        <v>302</v>
      </c>
      <c r="B81" s="25">
        <f>B32+B41+B45+B65+B74+B76</f>
        <v>377872.71160000004</v>
      </c>
      <c r="C81" s="39"/>
      <c r="D81" s="40"/>
    </row>
    <row r="82" spans="1:4" x14ac:dyDescent="0.25">
      <c r="A82" s="54" t="s">
        <v>303</v>
      </c>
      <c r="B82" s="20">
        <f>B81*0.03</f>
        <v>11336.181348</v>
      </c>
      <c r="C82" s="39"/>
      <c r="D82" s="40"/>
    </row>
    <row r="83" spans="1:4" s="34" customFormat="1" x14ac:dyDescent="0.25">
      <c r="A83" s="55" t="s">
        <v>304</v>
      </c>
      <c r="B83" s="32">
        <f>B81+B82</f>
        <v>389208.89294800005</v>
      </c>
      <c r="C83" s="39"/>
      <c r="D83" s="40"/>
    </row>
    <row r="84" spans="1:4" ht="16.5" thickBot="1" x14ac:dyDescent="0.3">
      <c r="A84" s="56" t="s">
        <v>305</v>
      </c>
      <c r="B84" s="57">
        <f>B83*0.2</f>
        <v>77841.778589600013</v>
      </c>
      <c r="C84" s="39"/>
      <c r="D84" s="40"/>
    </row>
    <row r="85" spans="1:4" s="8" customFormat="1" ht="16.5" thickBot="1" x14ac:dyDescent="0.3">
      <c r="A85" s="58" t="s">
        <v>306</v>
      </c>
      <c r="B85" s="59">
        <f>B83+B84</f>
        <v>467050.67153760005</v>
      </c>
      <c r="C85" s="60"/>
      <c r="D85" s="61"/>
    </row>
    <row r="86" spans="1:4" s="8" customFormat="1" ht="16.5" thickBot="1" x14ac:dyDescent="0.3">
      <c r="A86" s="62" t="s">
        <v>307</v>
      </c>
      <c r="B86" s="59">
        <f>B10+B24+B26+B28+B29-B85</f>
        <v>-122774.3515376001</v>
      </c>
      <c r="C86" s="63"/>
      <c r="D86" s="63"/>
    </row>
    <row r="87" spans="1:4" s="8" customFormat="1" ht="16.5" thickBot="1" x14ac:dyDescent="0.3">
      <c r="A87" s="64" t="s">
        <v>308</v>
      </c>
      <c r="B87" s="296">
        <f>B10+B25+B27++B28+B29-B85</f>
        <v>-137309.00153760001</v>
      </c>
      <c r="C87" s="63"/>
      <c r="D87" s="63"/>
    </row>
    <row r="88" spans="1:4" s="8" customFormat="1" ht="16.5" hidden="1" thickBot="1" x14ac:dyDescent="0.3">
      <c r="A88" s="65" t="s">
        <v>309</v>
      </c>
      <c r="B88" s="66">
        <f>B11+B24-B25</f>
        <v>14534.649999999965</v>
      </c>
      <c r="C88" s="63"/>
      <c r="D88" s="63"/>
    </row>
    <row r="89" spans="1:4" s="8" customFormat="1" hidden="1" x14ac:dyDescent="0.25">
      <c r="A89" s="67"/>
      <c r="B89" s="68"/>
      <c r="C89" s="63"/>
      <c r="D89" s="63"/>
    </row>
    <row r="90" spans="1:4" x14ac:dyDescent="0.25">
      <c r="A90" s="69"/>
    </row>
    <row r="91" spans="1:4" x14ac:dyDescent="0.25">
      <c r="A91" s="309" t="s">
        <v>310</v>
      </c>
      <c r="B91" s="310"/>
    </row>
    <row r="92" spans="1:4" x14ac:dyDescent="0.25">
      <c r="A92" s="69"/>
      <c r="B92" s="71"/>
    </row>
    <row r="93" spans="1:4" x14ac:dyDescent="0.25">
      <c r="A93" s="311"/>
      <c r="B93" s="312"/>
      <c r="C93" s="72"/>
    </row>
  </sheetData>
  <autoFilter ref="A32:B88" xr:uid="{00000000-0009-0000-0000-000003000000}">
    <filterColumn colId="1">
      <filters>
        <filter val="1 406,14"/>
        <filter val="1 612,44"/>
        <filter val="1 694,51"/>
        <filter val="106 956,95"/>
        <filter val="11 189,23"/>
        <filter val="11 600,40"/>
        <filter val="12 518,81"/>
        <filter val="12 890,77"/>
        <filter val="13 030,38"/>
        <filter val="16 388,08"/>
        <filter val="17 400,63"/>
        <filter val="19 818,01"/>
        <filter val="2 128,26"/>
        <filter val="23 595,59"/>
        <filter val="23,84"/>
        <filter val="235 975,58"/>
        <filter val="243 054,85"/>
        <filter val="291 665,82"/>
        <filter val="3 666,80"/>
        <filter val="318 021,28"/>
        <filter val="318 452,48"/>
        <filter val="4 071,79"/>
        <filter val="4 124,79"/>
        <filter val="4 500,45"/>
        <filter val="431,20"/>
        <filter val="48 610,97"/>
        <filter val="51 945,28"/>
        <filter val="7 079,27"/>
        <filter val="7 699,63"/>
        <filter val="70 184,57"/>
        <filter val="929,15"/>
      </filters>
    </filterColumn>
  </autoFilter>
  <mergeCells count="9">
    <mergeCell ref="D8:D9"/>
    <mergeCell ref="A91:B91"/>
    <mergeCell ref="A93:B93"/>
    <mergeCell ref="A1:B1"/>
    <mergeCell ref="A2:B2"/>
    <mergeCell ref="A3:B3"/>
    <mergeCell ref="A8:A9"/>
    <mergeCell ref="B8:B9"/>
    <mergeCell ref="C8:C9"/>
  </mergeCells>
  <phoneticPr fontId="43" type="noConversion"/>
  <pageMargins left="0.70866141732283472" right="0.70866141732283472" top="0.74803149606299213" bottom="0.74803149606299213" header="0.31496062992125984" footer="0.31496062992125984"/>
  <pageSetup paperSize="9" scale="77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filterMode="1">
    <pageSetUpPr fitToPage="1"/>
  </sheetPr>
  <dimension ref="A1:G95"/>
  <sheetViews>
    <sheetView view="pageBreakPreview" topLeftCell="A42" zoomScale="80" zoomScaleNormal="100" zoomScaleSheetLayoutView="80" workbookViewId="0">
      <selection activeCell="B81" sqref="B81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25" t="s">
        <v>224</v>
      </c>
      <c r="B1" s="325"/>
      <c r="C1" s="77"/>
      <c r="D1" s="77"/>
    </row>
    <row r="2" spans="1:4" ht="16.5" x14ac:dyDescent="0.25">
      <c r="A2" s="326" t="s">
        <v>225</v>
      </c>
      <c r="B2" s="326"/>
      <c r="C2" s="77"/>
      <c r="D2" s="77"/>
    </row>
    <row r="3" spans="1:4" ht="16.5" x14ac:dyDescent="0.25">
      <c r="A3" s="326" t="s">
        <v>226</v>
      </c>
      <c r="B3" s="326"/>
      <c r="C3" s="77"/>
      <c r="D3" s="77"/>
    </row>
    <row r="4" spans="1:4" ht="15.75" x14ac:dyDescent="0.25">
      <c r="A4" s="78" t="s">
        <v>516</v>
      </c>
      <c r="B4" s="78"/>
      <c r="C4" s="77"/>
      <c r="D4" s="77"/>
    </row>
    <row r="5" spans="1:4" ht="15.75" x14ac:dyDescent="0.25">
      <c r="A5" s="78" t="s">
        <v>112</v>
      </c>
      <c r="B5" s="78"/>
      <c r="C5" s="77"/>
      <c r="D5" s="77"/>
    </row>
    <row r="6" spans="1:4" ht="5.25" customHeight="1" x14ac:dyDescent="0.25">
      <c r="A6" s="78"/>
      <c r="B6" s="8"/>
      <c r="C6" s="79"/>
      <c r="D6" s="77"/>
    </row>
    <row r="7" spans="1:4" ht="16.5" thickBot="1" x14ac:dyDescent="0.3">
      <c r="A7" s="80"/>
      <c r="B7" s="8"/>
      <c r="C7" s="79"/>
      <c r="D7" s="77"/>
    </row>
    <row r="8" spans="1:4" ht="15.75" customHeight="1" x14ac:dyDescent="0.2">
      <c r="A8" s="327" t="s">
        <v>227</v>
      </c>
      <c r="B8" s="329" t="s">
        <v>228</v>
      </c>
      <c r="C8" s="331" t="s">
        <v>229</v>
      </c>
      <c r="D8" s="321" t="s">
        <v>230</v>
      </c>
    </row>
    <row r="9" spans="1:4" ht="28.5" customHeight="1" thickBot="1" x14ac:dyDescent="0.25">
      <c r="A9" s="328"/>
      <c r="B9" s="330"/>
      <c r="C9" s="332"/>
      <c r="D9" s="322"/>
    </row>
    <row r="10" spans="1:4" ht="16.5" thickBot="1" x14ac:dyDescent="0.25">
      <c r="A10" s="81" t="s">
        <v>231</v>
      </c>
      <c r="B10" s="302">
        <f>VLOOKUP(A5,мкд!S:T,2,FALSE)</f>
        <v>92721.17</v>
      </c>
      <c r="C10" s="83"/>
      <c r="D10" s="84"/>
    </row>
    <row r="11" spans="1:4" ht="16.5" hidden="1" thickBot="1" x14ac:dyDescent="0.25">
      <c r="A11" s="85" t="s">
        <v>232</v>
      </c>
      <c r="B11" s="210"/>
      <c r="C11" s="84"/>
      <c r="D11" s="86"/>
    </row>
    <row r="12" spans="1:4" ht="16.5" thickBot="1" x14ac:dyDescent="0.3">
      <c r="A12" s="87" t="s">
        <v>233</v>
      </c>
      <c r="B12" s="217"/>
      <c r="C12" s="89" t="s">
        <v>234</v>
      </c>
      <c r="D12" s="90" t="s">
        <v>234</v>
      </c>
    </row>
    <row r="13" spans="1:4" ht="16.5" hidden="1" thickBot="1" x14ac:dyDescent="0.3">
      <c r="A13" s="91" t="s">
        <v>235</v>
      </c>
      <c r="B13" s="23">
        <v>3299.9</v>
      </c>
      <c r="C13" s="90" t="s">
        <v>234</v>
      </c>
      <c r="D13" s="92" t="s">
        <v>234</v>
      </c>
    </row>
    <row r="14" spans="1:4" ht="16.5" hidden="1" thickBot="1" x14ac:dyDescent="0.3">
      <c r="A14" s="91" t="s">
        <v>236</v>
      </c>
      <c r="B14" s="23">
        <v>580</v>
      </c>
      <c r="C14" s="93"/>
      <c r="D14" s="92"/>
    </row>
    <row r="15" spans="1:4" ht="16.5" hidden="1" thickBot="1" x14ac:dyDescent="0.3">
      <c r="A15" s="91" t="s">
        <v>237</v>
      </c>
      <c r="B15" s="23">
        <f>B13+B14</f>
        <v>3879.9</v>
      </c>
      <c r="C15" s="94"/>
      <c r="D15" s="95"/>
    </row>
    <row r="16" spans="1:4" ht="16.5" hidden="1" thickBot="1" x14ac:dyDescent="0.3">
      <c r="A16" s="91" t="s">
        <v>238</v>
      </c>
      <c r="B16" s="23">
        <f>1263+1602.9/3</f>
        <v>1797.3000000000002</v>
      </c>
      <c r="C16" s="96" t="s">
        <v>234</v>
      </c>
      <c r="D16" s="95" t="s">
        <v>234</v>
      </c>
    </row>
    <row r="17" spans="1:7" ht="16.5" hidden="1" thickBot="1" x14ac:dyDescent="0.3">
      <c r="A17" s="91" t="s">
        <v>239</v>
      </c>
      <c r="B17" s="23">
        <v>0</v>
      </c>
      <c r="C17" s="90" t="s">
        <v>234</v>
      </c>
      <c r="D17" s="92" t="s">
        <v>234</v>
      </c>
      <c r="E17" s="77"/>
      <c r="F17" s="77"/>
      <c r="G17" s="77"/>
    </row>
    <row r="18" spans="1:7" ht="16.5" hidden="1" thickBot="1" x14ac:dyDescent="0.3">
      <c r="A18" s="91" t="s">
        <v>240</v>
      </c>
      <c r="B18" s="23">
        <v>456</v>
      </c>
      <c r="C18" s="95" t="s">
        <v>234</v>
      </c>
      <c r="D18" s="92" t="s">
        <v>234</v>
      </c>
      <c r="E18" s="77"/>
      <c r="F18" s="77"/>
      <c r="G18" s="77"/>
    </row>
    <row r="19" spans="1:7" ht="16.5" hidden="1" thickBot="1" x14ac:dyDescent="0.3">
      <c r="A19" s="91" t="s">
        <v>241</v>
      </c>
      <c r="B19" s="23">
        <v>0</v>
      </c>
      <c r="C19" s="95" t="s">
        <v>234</v>
      </c>
      <c r="D19" s="92" t="s">
        <v>234</v>
      </c>
      <c r="E19" s="77"/>
      <c r="F19" s="77"/>
      <c r="G19" s="77"/>
    </row>
    <row r="20" spans="1:7" ht="16.5" hidden="1" thickBot="1" x14ac:dyDescent="0.3">
      <c r="A20" s="91" t="s">
        <v>242</v>
      </c>
      <c r="B20" s="23">
        <v>590.9</v>
      </c>
      <c r="C20" s="95"/>
      <c r="D20" s="92"/>
      <c r="E20" s="77"/>
      <c r="F20" s="77"/>
      <c r="G20" s="77"/>
    </row>
    <row r="21" spans="1:7" ht="16.5" hidden="1" thickBot="1" x14ac:dyDescent="0.3">
      <c r="A21" s="91" t="s">
        <v>243</v>
      </c>
      <c r="B21" s="23">
        <v>2</v>
      </c>
      <c r="C21" s="95" t="s">
        <v>234</v>
      </c>
      <c r="D21" s="92" t="s">
        <v>234</v>
      </c>
      <c r="E21" s="77"/>
      <c r="F21" s="77"/>
      <c r="G21" s="77"/>
    </row>
    <row r="22" spans="1:7" ht="16.5" hidden="1" thickBot="1" x14ac:dyDescent="0.3">
      <c r="A22" s="91" t="s">
        <v>244</v>
      </c>
      <c r="B22" s="23">
        <v>151</v>
      </c>
      <c r="C22" s="93"/>
      <c r="D22" s="92"/>
      <c r="E22" s="77"/>
      <c r="F22" s="77"/>
      <c r="G22" s="77"/>
    </row>
    <row r="23" spans="1:7" ht="15.75" x14ac:dyDescent="0.25">
      <c r="A23" s="91"/>
      <c r="B23" s="23"/>
      <c r="C23" s="94"/>
      <c r="D23" s="95"/>
      <c r="E23" s="77">
        <v>10</v>
      </c>
      <c r="F23" s="77">
        <v>2</v>
      </c>
      <c r="G23" s="77"/>
    </row>
    <row r="24" spans="1:7" ht="15.75" x14ac:dyDescent="0.25">
      <c r="A24" s="97" t="s">
        <v>319</v>
      </c>
      <c r="B24" s="28">
        <f>VLOOKUP(A5,[2]Лист1!M$1:N$65536,2,FALSE)</f>
        <v>889138.05999999994</v>
      </c>
      <c r="C24" s="92"/>
      <c r="D24" s="95"/>
      <c r="E24" s="26">
        <v>22</v>
      </c>
      <c r="F24" s="256">
        <v>24.626799999999999</v>
      </c>
      <c r="G24" s="77"/>
    </row>
    <row r="25" spans="1:7" ht="16.5" thickBot="1" x14ac:dyDescent="0.3">
      <c r="A25" s="97" t="s">
        <v>320</v>
      </c>
      <c r="B25" s="28">
        <f>VLOOKUP(A5,[2]Лист1!M$1:O$65536,3,FALSE)</f>
        <v>828864.26</v>
      </c>
      <c r="C25" s="96"/>
      <c r="D25" s="95"/>
      <c r="E25" s="77"/>
      <c r="F25" s="77"/>
      <c r="G25" s="77"/>
    </row>
    <row r="26" spans="1:7" ht="15.75" x14ac:dyDescent="0.25">
      <c r="A26" s="97" t="s">
        <v>353</v>
      </c>
      <c r="B26" s="28">
        <v>156170.79999999999</v>
      </c>
      <c r="C26" s="90"/>
      <c r="D26" s="92"/>
      <c r="E26" s="77"/>
      <c r="F26" s="77"/>
      <c r="G26" s="77"/>
    </row>
    <row r="27" spans="1:7" ht="16.5" thickBot="1" x14ac:dyDescent="0.3">
      <c r="A27" s="97" t="s">
        <v>354</v>
      </c>
      <c r="B27" s="28">
        <v>187572</v>
      </c>
      <c r="C27" s="93"/>
      <c r="D27" s="92"/>
      <c r="E27" s="77"/>
      <c r="F27" s="77"/>
      <c r="G27" s="77"/>
    </row>
    <row r="28" spans="1:7" ht="16.5" thickBot="1" x14ac:dyDescent="0.3">
      <c r="A28" s="97" t="s">
        <v>249</v>
      </c>
      <c r="B28" s="28">
        <v>176628.84</v>
      </c>
      <c r="C28" s="89"/>
      <c r="D28" s="95"/>
      <c r="E28" s="77"/>
      <c r="F28" s="77"/>
      <c r="G28" s="77"/>
    </row>
    <row r="29" spans="1:7" ht="16.5" hidden="1" thickBot="1" x14ac:dyDescent="0.3">
      <c r="A29" s="97" t="s">
        <v>250</v>
      </c>
      <c r="B29" s="28"/>
      <c r="C29" s="98"/>
      <c r="D29" s="92"/>
      <c r="E29" s="77"/>
      <c r="F29" s="77"/>
      <c r="G29" s="77"/>
    </row>
    <row r="30" spans="1:7" ht="15.75" x14ac:dyDescent="0.25">
      <c r="A30" s="99"/>
      <c r="B30" s="23"/>
      <c r="C30" s="94"/>
      <c r="D30" s="95"/>
      <c r="E30" s="77"/>
      <c r="F30" s="77"/>
      <c r="G30" s="77"/>
    </row>
    <row r="31" spans="1:7" ht="15.75" x14ac:dyDescent="0.25">
      <c r="A31" s="100" t="s">
        <v>251</v>
      </c>
      <c r="B31" s="23"/>
      <c r="C31" s="92"/>
      <c r="D31" s="95"/>
      <c r="E31" s="77"/>
      <c r="F31" s="77"/>
      <c r="G31" s="77"/>
    </row>
    <row r="32" spans="1:7" s="103" customFormat="1" ht="31.5" x14ac:dyDescent="0.25">
      <c r="A32" s="101" t="s">
        <v>252</v>
      </c>
      <c r="B32" s="208">
        <f>SUM(B33:B41)</f>
        <v>263709.43830892578</v>
      </c>
      <c r="C32" s="92"/>
      <c r="D32" s="95"/>
      <c r="E32" s="102">
        <f>(B86-B26-B24)/1.2/1.03</f>
        <v>348805.90222444409</v>
      </c>
      <c r="F32" s="102" t="e">
        <f>(#REF!-#REF!-#REF!)/1.2/1.03</f>
        <v>#REF!</v>
      </c>
      <c r="G32" s="102" t="e">
        <f>(#REF!-#REF!-#REF!)/1.2/1.03</f>
        <v>#REF!</v>
      </c>
    </row>
    <row r="33" spans="1:7" ht="16.5" thickBot="1" x14ac:dyDescent="0.3">
      <c r="A33" s="104" t="s">
        <v>253</v>
      </c>
      <c r="B33" s="23">
        <v>35926.873602924985</v>
      </c>
      <c r="C33" s="96"/>
      <c r="D33" s="95">
        <v>25973.37</v>
      </c>
      <c r="E33" s="77"/>
      <c r="F33" s="77"/>
      <c r="G33" s="77"/>
    </row>
    <row r="34" spans="1:7" ht="15.75" hidden="1" x14ac:dyDescent="0.25">
      <c r="A34" s="104" t="s">
        <v>322</v>
      </c>
      <c r="B34" s="23">
        <v>0</v>
      </c>
      <c r="C34" s="90"/>
      <c r="D34" s="92">
        <v>0</v>
      </c>
      <c r="E34" s="77"/>
      <c r="F34" s="77"/>
      <c r="G34" s="77"/>
    </row>
    <row r="35" spans="1:7" ht="15.75" x14ac:dyDescent="0.25">
      <c r="A35" s="104" t="s">
        <v>256</v>
      </c>
      <c r="B35" s="23">
        <v>17247.419999999998</v>
      </c>
      <c r="C35" s="95"/>
      <c r="D35" s="92">
        <v>0</v>
      </c>
      <c r="E35" s="77"/>
      <c r="F35" s="77"/>
      <c r="G35" s="77"/>
    </row>
    <row r="36" spans="1:7" ht="15.75" x14ac:dyDescent="0.25">
      <c r="A36" s="104" t="s">
        <v>255</v>
      </c>
      <c r="B36" s="23">
        <v>45644.026418341098</v>
      </c>
      <c r="C36" s="95" t="s">
        <v>234</v>
      </c>
      <c r="D36" s="92">
        <v>0</v>
      </c>
      <c r="E36" s="77"/>
      <c r="F36" s="77"/>
      <c r="G36" s="77"/>
    </row>
    <row r="37" spans="1:7" ht="15.75" hidden="1" x14ac:dyDescent="0.25">
      <c r="A37" s="104" t="s">
        <v>257</v>
      </c>
      <c r="B37" s="23">
        <v>0</v>
      </c>
      <c r="C37" s="95"/>
      <c r="D37" s="92">
        <v>0</v>
      </c>
      <c r="E37" s="77"/>
      <c r="F37" s="77"/>
      <c r="G37" s="77"/>
    </row>
    <row r="38" spans="1:7" ht="15.75" hidden="1" x14ac:dyDescent="0.25">
      <c r="A38" s="104" t="s">
        <v>258</v>
      </c>
      <c r="B38" s="23">
        <v>0</v>
      </c>
      <c r="C38" s="95"/>
      <c r="D38" s="92">
        <v>0</v>
      </c>
      <c r="E38" s="77"/>
      <c r="F38" s="77"/>
      <c r="G38" s="77"/>
    </row>
    <row r="39" spans="1:7" ht="15.75" x14ac:dyDescent="0.25">
      <c r="A39" s="104" t="s">
        <v>324</v>
      </c>
      <c r="B39" s="23">
        <v>1807.8982876596756</v>
      </c>
      <c r="C39" s="95"/>
      <c r="D39" s="92">
        <v>0</v>
      </c>
      <c r="E39" s="77"/>
      <c r="F39" s="77"/>
      <c r="G39" s="77"/>
    </row>
    <row r="40" spans="1:7" ht="15.75" x14ac:dyDescent="0.25">
      <c r="A40" s="104" t="s">
        <v>363</v>
      </c>
      <c r="B40" s="23">
        <v>64117.55</v>
      </c>
      <c r="C40" s="95"/>
      <c r="D40" s="92"/>
      <c r="E40" s="77"/>
      <c r="F40" s="77"/>
      <c r="G40" s="77"/>
    </row>
    <row r="41" spans="1:7" ht="16.5" thickBot="1" x14ac:dyDescent="0.3">
      <c r="A41" s="104" t="s">
        <v>343</v>
      </c>
      <c r="B41" s="23">
        <v>98965.67</v>
      </c>
      <c r="C41" s="93"/>
      <c r="D41" s="92"/>
      <c r="E41" s="77"/>
      <c r="F41" s="77"/>
      <c r="G41" s="77"/>
    </row>
    <row r="42" spans="1:7" s="103" customFormat="1" ht="48" thickBot="1" x14ac:dyDescent="0.3">
      <c r="A42" s="101" t="s">
        <v>325</v>
      </c>
      <c r="B42" s="208">
        <f>SUM(B43:B45)</f>
        <v>67363.736913837973</v>
      </c>
      <c r="C42" s="89"/>
      <c r="D42" s="95"/>
      <c r="E42" s="102"/>
      <c r="F42" s="102"/>
      <c r="G42" s="102"/>
    </row>
    <row r="43" spans="1:7" ht="15.75" x14ac:dyDescent="0.25">
      <c r="A43" s="104" t="s">
        <v>262</v>
      </c>
      <c r="B43" s="23">
        <v>4414.1899999999996</v>
      </c>
      <c r="C43" s="98"/>
      <c r="D43" s="108"/>
      <c r="E43" s="77"/>
      <c r="F43" s="77"/>
      <c r="G43" s="77"/>
    </row>
    <row r="44" spans="1:7" ht="15.75" x14ac:dyDescent="0.25">
      <c r="A44" s="104" t="s">
        <v>263</v>
      </c>
      <c r="B44" s="23">
        <v>39248.821691074241</v>
      </c>
      <c r="C44" s="93"/>
      <c r="D44" s="108"/>
      <c r="E44" s="77"/>
      <c r="F44" s="77"/>
      <c r="G44" s="77"/>
    </row>
    <row r="45" spans="1:7" ht="16.5" thickBot="1" x14ac:dyDescent="0.3">
      <c r="A45" s="109" t="s">
        <v>264</v>
      </c>
      <c r="B45" s="23">
        <f>('[3]34тарифы'!D163*B15+588.03)*1.1194</f>
        <v>23700.725222763733</v>
      </c>
      <c r="C45" s="93"/>
      <c r="D45" s="108"/>
      <c r="E45" s="77"/>
      <c r="F45" s="77"/>
      <c r="G45" s="77"/>
    </row>
    <row r="46" spans="1:7" s="79" customFormat="1" ht="16.5" thickBot="1" x14ac:dyDescent="0.3">
      <c r="A46" s="101" t="s">
        <v>265</v>
      </c>
      <c r="B46" s="208">
        <f>SUM(B47:B65)</f>
        <v>360990.23000000004</v>
      </c>
      <c r="C46" s="89"/>
      <c r="D46" s="95"/>
    </row>
    <row r="47" spans="1:7" ht="15.75" x14ac:dyDescent="0.25">
      <c r="A47" s="104" t="s">
        <v>326</v>
      </c>
      <c r="B47" s="283">
        <v>1915.2</v>
      </c>
      <c r="C47" s="90"/>
      <c r="D47" s="92"/>
      <c r="E47" s="77" t="s">
        <v>267</v>
      </c>
      <c r="F47" s="77"/>
      <c r="G47" s="77"/>
    </row>
    <row r="48" spans="1:7" ht="15.75" x14ac:dyDescent="0.25">
      <c r="A48" s="104" t="s">
        <v>317</v>
      </c>
      <c r="B48" s="283">
        <v>2325.6</v>
      </c>
      <c r="C48" s="95"/>
      <c r="D48" s="92"/>
      <c r="E48" s="77" t="s">
        <v>269</v>
      </c>
      <c r="F48" s="77"/>
      <c r="G48" s="77"/>
    </row>
    <row r="49" spans="1:4" ht="15.75" x14ac:dyDescent="0.2">
      <c r="A49" s="110" t="s">
        <v>270</v>
      </c>
      <c r="B49" s="283">
        <v>143340.48000000001</v>
      </c>
      <c r="C49" s="95">
        <v>2</v>
      </c>
      <c r="D49" s="92">
        <f>6972.52*2</f>
        <v>13945.04</v>
      </c>
    </row>
    <row r="50" spans="1:4" ht="15.75" x14ac:dyDescent="0.2">
      <c r="A50" s="110" t="s">
        <v>271</v>
      </c>
      <c r="B50" s="283">
        <v>9800</v>
      </c>
      <c r="C50" s="95">
        <v>2</v>
      </c>
      <c r="D50" s="92">
        <v>4190</v>
      </c>
    </row>
    <row r="51" spans="1:4" ht="15.75" hidden="1" x14ac:dyDescent="0.25">
      <c r="A51" s="110" t="s">
        <v>347</v>
      </c>
      <c r="B51" s="23"/>
      <c r="C51" s="95">
        <v>2</v>
      </c>
      <c r="D51" s="92">
        <v>13973</v>
      </c>
    </row>
    <row r="52" spans="1:4" ht="15.75" hidden="1" x14ac:dyDescent="0.25">
      <c r="A52" s="110" t="s">
        <v>502</v>
      </c>
      <c r="B52" s="23"/>
      <c r="C52" s="95">
        <v>2</v>
      </c>
      <c r="D52" s="92">
        <v>105.14</v>
      </c>
    </row>
    <row r="53" spans="1:4" ht="15.75" x14ac:dyDescent="0.25">
      <c r="A53" s="110" t="s">
        <v>542</v>
      </c>
      <c r="B53" s="23">
        <v>4200</v>
      </c>
      <c r="C53" s="95">
        <v>0</v>
      </c>
      <c r="D53" s="92">
        <v>522.99</v>
      </c>
    </row>
    <row r="54" spans="1:4" ht="15.75" x14ac:dyDescent="0.25">
      <c r="A54" s="110" t="s">
        <v>275</v>
      </c>
      <c r="B54" s="23">
        <v>8133.61</v>
      </c>
      <c r="C54" s="95">
        <v>1</v>
      </c>
      <c r="D54" s="111">
        <v>700.55</v>
      </c>
    </row>
    <row r="55" spans="1:4" ht="15.75" hidden="1" x14ac:dyDescent="0.25">
      <c r="A55" s="110" t="s">
        <v>276</v>
      </c>
      <c r="B55" s="23">
        <v>0</v>
      </c>
      <c r="C55" s="95"/>
      <c r="D55" s="111"/>
    </row>
    <row r="56" spans="1:4" ht="15.75" x14ac:dyDescent="0.25">
      <c r="A56" s="110" t="s">
        <v>277</v>
      </c>
      <c r="B56" s="23">
        <v>126000</v>
      </c>
      <c r="C56" s="95">
        <v>1</v>
      </c>
      <c r="D56" s="92">
        <f>10695.76/1.18</f>
        <v>9064.203389830509</v>
      </c>
    </row>
    <row r="57" spans="1:4" ht="15.75" x14ac:dyDescent="0.2">
      <c r="A57" s="110" t="s">
        <v>282</v>
      </c>
      <c r="B57" s="229">
        <f>2180.21+840</f>
        <v>3020.21</v>
      </c>
      <c r="C57" s="95">
        <v>0</v>
      </c>
      <c r="D57" s="92">
        <f>2300/1.18</f>
        <v>1949.1525423728815</v>
      </c>
    </row>
    <row r="58" spans="1:4" ht="16.5" thickBot="1" x14ac:dyDescent="0.3">
      <c r="A58" s="110" t="s">
        <v>315</v>
      </c>
      <c r="B58" s="23">
        <v>19242.419999999998</v>
      </c>
      <c r="C58" s="93">
        <f>65+6</f>
        <v>71</v>
      </c>
      <c r="D58" s="92">
        <v>44.62</v>
      </c>
    </row>
    <row r="59" spans="1:4" ht="16.5" thickBot="1" x14ac:dyDescent="0.25">
      <c r="A59" s="110" t="s">
        <v>274</v>
      </c>
      <c r="B59" s="283">
        <v>21977</v>
      </c>
      <c r="C59" s="89"/>
      <c r="D59" s="95"/>
    </row>
    <row r="60" spans="1:4" ht="16.5" hidden="1" thickBot="1" x14ac:dyDescent="0.3">
      <c r="A60" s="104" t="s">
        <v>280</v>
      </c>
      <c r="B60" s="23">
        <v>0</v>
      </c>
      <c r="C60" s="90"/>
      <c r="D60" s="92"/>
    </row>
    <row r="61" spans="1:4" ht="16.5" hidden="1" thickBot="1" x14ac:dyDescent="0.3">
      <c r="A61" s="104" t="s">
        <v>503</v>
      </c>
      <c r="B61" s="23"/>
      <c r="C61" s="95"/>
      <c r="D61" s="92">
        <v>0</v>
      </c>
    </row>
    <row r="62" spans="1:4" ht="16.5" hidden="1" thickBot="1" x14ac:dyDescent="0.3">
      <c r="A62" s="104" t="s">
        <v>504</v>
      </c>
      <c r="B62" s="23"/>
      <c r="C62" s="95"/>
      <c r="D62" s="92">
        <v>0</v>
      </c>
    </row>
    <row r="63" spans="1:4" ht="16.5" hidden="1" thickBot="1" x14ac:dyDescent="0.3">
      <c r="A63" s="104" t="s">
        <v>327</v>
      </c>
      <c r="B63" s="229">
        <v>0</v>
      </c>
      <c r="C63" s="113">
        <v>1</v>
      </c>
      <c r="D63" s="92">
        <v>0</v>
      </c>
    </row>
    <row r="64" spans="1:4" ht="16.5" thickBot="1" x14ac:dyDescent="0.3">
      <c r="A64" s="104" t="s">
        <v>540</v>
      </c>
      <c r="B64" s="229">
        <v>21035.71</v>
      </c>
      <c r="C64" s="114">
        <v>71</v>
      </c>
      <c r="D64" s="95">
        <v>2</v>
      </c>
    </row>
    <row r="65" spans="1:4" s="79" customFormat="1" ht="16.5" hidden="1" thickBot="1" x14ac:dyDescent="0.3">
      <c r="A65" s="104" t="s">
        <v>285</v>
      </c>
      <c r="B65" s="229">
        <v>0</v>
      </c>
      <c r="C65" s="115"/>
      <c r="D65" s="108">
        <v>0</v>
      </c>
    </row>
    <row r="66" spans="1:4" s="79" customFormat="1" ht="16.5" thickBot="1" x14ac:dyDescent="0.3">
      <c r="A66" s="116" t="s">
        <v>286</v>
      </c>
      <c r="B66" s="208">
        <f>SUM(B67:B74)</f>
        <v>234821.20137539878</v>
      </c>
      <c r="C66" s="89"/>
      <c r="D66" s="93"/>
    </row>
    <row r="67" spans="1:4" ht="16.5" hidden="1" thickBot="1" x14ac:dyDescent="0.3">
      <c r="A67" s="104" t="s">
        <v>287</v>
      </c>
      <c r="B67" s="23">
        <v>0</v>
      </c>
      <c r="C67" s="98"/>
      <c r="D67" s="108"/>
    </row>
    <row r="68" spans="1:4" ht="16.5" thickBot="1" x14ac:dyDescent="0.3">
      <c r="A68" s="104" t="s">
        <v>288</v>
      </c>
      <c r="B68" s="23">
        <f>65489*1.04*1.1194</f>
        <v>76240.722063999987</v>
      </c>
      <c r="C68" s="89"/>
      <c r="D68" s="93"/>
    </row>
    <row r="69" spans="1:4" ht="15.75" hidden="1" x14ac:dyDescent="0.25">
      <c r="A69" s="104" t="s">
        <v>289</v>
      </c>
      <c r="B69" s="23">
        <v>0</v>
      </c>
      <c r="C69" s="98"/>
      <c r="D69" s="108"/>
    </row>
    <row r="70" spans="1:4" ht="16.5" thickBot="1" x14ac:dyDescent="0.3">
      <c r="A70" s="109" t="s">
        <v>290</v>
      </c>
      <c r="B70" s="23">
        <f>'[3]34тарифы'!D164*B13*1.1194</f>
        <v>4072.4306639763986</v>
      </c>
      <c r="C70" s="93"/>
      <c r="D70" s="108"/>
    </row>
    <row r="71" spans="1:4" ht="15.75" x14ac:dyDescent="0.25">
      <c r="A71" s="109" t="s">
        <v>291</v>
      </c>
      <c r="B71" s="23">
        <f>VLOOKUP(A71,[2]Лист1!S$1:T$65536,2,FALSE)*B15</f>
        <v>17944.168266074161</v>
      </c>
      <c r="C71" s="117"/>
      <c r="D71" s="93"/>
    </row>
    <row r="72" spans="1:4" ht="15.75" x14ac:dyDescent="0.25">
      <c r="A72" s="109" t="s">
        <v>292</v>
      </c>
      <c r="B72" s="23">
        <f>VLOOKUP(A72,[2]Лист1!S$1:T$65536,2,FALSE)*B15</f>
        <v>62639.868557348251</v>
      </c>
      <c r="C72" s="108"/>
      <c r="D72" s="93"/>
    </row>
    <row r="73" spans="1:4" ht="15.75" x14ac:dyDescent="0.25">
      <c r="A73" s="41" t="s">
        <v>293</v>
      </c>
      <c r="B73" s="23">
        <f>6724*1.04*1.1194</f>
        <v>7827.9194239999997</v>
      </c>
      <c r="C73" s="108"/>
      <c r="D73" s="93"/>
    </row>
    <row r="74" spans="1:4" ht="15.75" x14ac:dyDescent="0.25">
      <c r="A74" s="109" t="s">
        <v>294</v>
      </c>
      <c r="B74" s="23">
        <f>56775*1.04*1.1194</f>
        <v>66096.092399999994</v>
      </c>
      <c r="C74" s="108"/>
      <c r="D74" s="93"/>
    </row>
    <row r="75" spans="1:4" ht="47.25" x14ac:dyDescent="0.25">
      <c r="A75" s="118" t="s">
        <v>328</v>
      </c>
      <c r="B75" s="208">
        <f>SUM(B76:B76)</f>
        <v>112243.19311737648</v>
      </c>
      <c r="C75" s="108"/>
      <c r="D75" s="93"/>
    </row>
    <row r="76" spans="1:4" ht="15.75" x14ac:dyDescent="0.25">
      <c r="A76" s="109" t="s">
        <v>296</v>
      </c>
      <c r="B76" s="23">
        <f>'[3]34ОЭР'!D137*1.1194</f>
        <v>112243.19311737648</v>
      </c>
      <c r="C76" s="108"/>
      <c r="D76" s="93"/>
    </row>
    <row r="77" spans="1:4" s="79" customFormat="1" ht="15.75" x14ac:dyDescent="0.25">
      <c r="A77" s="116" t="s">
        <v>297</v>
      </c>
      <c r="B77" s="208">
        <f>SUM(B78:B81)</f>
        <v>155397.24490372688</v>
      </c>
      <c r="C77" s="108"/>
      <c r="D77" s="93"/>
    </row>
    <row r="78" spans="1:4" ht="32.25" thickBot="1" x14ac:dyDescent="0.3">
      <c r="A78" s="119" t="s">
        <v>329</v>
      </c>
      <c r="B78" s="23">
        <f>'[3]34тарифы'!D170*B15*1.1194</f>
        <v>93587.020785510176</v>
      </c>
      <c r="C78" s="96"/>
      <c r="D78" s="93"/>
    </row>
    <row r="79" spans="1:4" ht="16.5" thickBot="1" x14ac:dyDescent="0.3">
      <c r="A79" s="51" t="s">
        <v>299</v>
      </c>
      <c r="B79" s="23">
        <f>(B26/1.2)*30%</f>
        <v>39042.699999999997</v>
      </c>
      <c r="C79" s="98"/>
      <c r="D79" s="108"/>
    </row>
    <row r="80" spans="1:4" ht="15.75" x14ac:dyDescent="0.25">
      <c r="A80" s="120" t="s">
        <v>330</v>
      </c>
      <c r="B80" s="23">
        <f>9770.71+5746.86</f>
        <v>15517.57</v>
      </c>
      <c r="C80" s="117"/>
      <c r="D80" s="93"/>
    </row>
    <row r="81" spans="1:4" ht="15.75" x14ac:dyDescent="0.25">
      <c r="A81" s="120" t="s">
        <v>331</v>
      </c>
      <c r="B81" s="23">
        <f>'[3]34тарифы'!D173*B13*1.1194</f>
        <v>7249.9541182167122</v>
      </c>
      <c r="C81" s="108"/>
      <c r="D81" s="93"/>
    </row>
    <row r="82" spans="1:4" ht="15.75" x14ac:dyDescent="0.25">
      <c r="A82" s="121" t="s">
        <v>302</v>
      </c>
      <c r="B82" s="28">
        <f>B32+B42+B46+B66+B75+B77</f>
        <v>1194525.0446192659</v>
      </c>
      <c r="C82" s="108"/>
      <c r="D82" s="93"/>
    </row>
    <row r="83" spans="1:4" ht="15.75" x14ac:dyDescent="0.25">
      <c r="A83" s="122" t="s">
        <v>303</v>
      </c>
      <c r="B83" s="23">
        <f>B82*0.03</f>
        <v>35835.751338577975</v>
      </c>
      <c r="C83" s="108"/>
      <c r="D83" s="93"/>
    </row>
    <row r="84" spans="1:4" s="103" customFormat="1" ht="15.75" x14ac:dyDescent="0.25">
      <c r="A84" s="123" t="s">
        <v>304</v>
      </c>
      <c r="B84" s="208">
        <f>B82+B83</f>
        <v>1230360.795957844</v>
      </c>
      <c r="C84" s="108"/>
      <c r="D84" s="93"/>
    </row>
    <row r="85" spans="1:4" ht="16.5" thickBot="1" x14ac:dyDescent="0.3">
      <c r="A85" s="124" t="s">
        <v>305</v>
      </c>
      <c r="B85" s="240">
        <f>B84*0.2</f>
        <v>246072.15919156882</v>
      </c>
      <c r="C85" s="108"/>
      <c r="D85" s="93"/>
    </row>
    <row r="86" spans="1:4" s="79" customFormat="1" ht="16.5" thickBot="1" x14ac:dyDescent="0.3">
      <c r="A86" s="125" t="s">
        <v>306</v>
      </c>
      <c r="B86" s="66">
        <f>B84+B85</f>
        <v>1476432.9551494129</v>
      </c>
      <c r="C86" s="89"/>
      <c r="D86" s="126"/>
    </row>
    <row r="87" spans="1:4" s="79" customFormat="1" ht="16.5" thickBot="1" x14ac:dyDescent="0.3">
      <c r="A87" s="127" t="s">
        <v>307</v>
      </c>
      <c r="B87" s="296">
        <f>B10+B24+B26+B28+B29-B86</f>
        <v>-161774.08514941274</v>
      </c>
      <c r="C87" s="128"/>
      <c r="D87" s="129"/>
    </row>
    <row r="88" spans="1:4" s="79" customFormat="1" ht="16.5" thickBot="1" x14ac:dyDescent="0.3">
      <c r="A88" s="130" t="s">
        <v>308</v>
      </c>
      <c r="B88" s="66">
        <f>B10+B25+B27+B28+B29-B86</f>
        <v>-190646.6851494126</v>
      </c>
      <c r="C88" s="131"/>
      <c r="D88" s="129"/>
    </row>
    <row r="89" spans="1:4" s="79" customFormat="1" ht="16.5" hidden="1" thickBot="1" x14ac:dyDescent="0.3">
      <c r="A89" s="132" t="s">
        <v>309</v>
      </c>
      <c r="B89" s="66">
        <f>B11+B24-B25</f>
        <v>60273.79999999993</v>
      </c>
      <c r="C89" s="129"/>
      <c r="D89" s="129"/>
    </row>
    <row r="90" spans="1:4" s="79" customFormat="1" ht="15.75" x14ac:dyDescent="0.25">
      <c r="A90" s="133"/>
      <c r="B90" s="242"/>
      <c r="C90" s="129"/>
      <c r="D90" s="129"/>
    </row>
    <row r="91" spans="1:4" ht="15.75" x14ac:dyDescent="0.25">
      <c r="A91" s="134"/>
      <c r="B91" s="3"/>
      <c r="C91" s="77"/>
      <c r="D91" s="77"/>
    </row>
    <row r="92" spans="1:4" ht="15.75" x14ac:dyDescent="0.25">
      <c r="A92" s="323" t="s">
        <v>332</v>
      </c>
      <c r="B92" s="323"/>
      <c r="C92" s="77"/>
      <c r="D92" s="77"/>
    </row>
    <row r="93" spans="1:4" ht="15.75" x14ac:dyDescent="0.25">
      <c r="A93" s="134"/>
      <c r="B93" s="3"/>
      <c r="C93" s="77"/>
      <c r="D93" s="77"/>
    </row>
    <row r="94" spans="1:4" ht="15.75" hidden="1" x14ac:dyDescent="0.25">
      <c r="A94" s="324" t="s">
        <v>333</v>
      </c>
      <c r="B94" s="324"/>
      <c r="C94" s="135"/>
      <c r="D94" s="77"/>
    </row>
    <row r="95" spans="1:4" ht="15.75" x14ac:dyDescent="0.25">
      <c r="A95" s="77"/>
      <c r="B95" s="3"/>
      <c r="C95" s="77"/>
      <c r="D95" s="77"/>
    </row>
  </sheetData>
  <autoFilter ref="A31:G89" xr:uid="{00000000-0009-0000-0000-000027000000}">
    <filterColumn colId="1">
      <filters>
        <filter val="1 231 074,27"/>
        <filter val="1 268 006,50"/>
        <filter val="1 521 607,80"/>
        <filter val="1 586,05"/>
        <filter val="1 761,22"/>
        <filter val="1 807,90"/>
        <filter val="1 915,20"/>
        <filter val="109 916,56"/>
        <filter val="11 120,00"/>
        <filter val="11 509,89"/>
        <filter val="112 243,19"/>
        <filter val="143 340,48"/>
        <filter val="157 059,31"/>
        <filter val="17 179,64"/>
        <filter val="17 247,42"/>
        <filter val="17 944,17"/>
        <filter val="2 325,60"/>
        <filter val="23 700,73"/>
        <filter val="234 821,20"/>
        <filter val="253 601,30"/>
        <filter val="263 709,44"/>
        <filter val="35 926,87"/>
        <filter val="36 932,23"/>
        <filter val="38 484,84"/>
        <filter val="39 042,70"/>
        <filter val="39 248,82"/>
        <filter val="395 877,39"/>
        <filter val="4 072,43"/>
        <filter val="4 414,19"/>
        <filter val="45 644,03"/>
        <filter val="60 273,80"/>
        <filter val="62 639,87"/>
        <filter val="63 848,57"/>
        <filter val="64 117,55"/>
        <filter val="66 096,09"/>
        <filter val="67 363,74"/>
        <filter val="7 249,95"/>
        <filter val="7 827,92"/>
        <filter val="76 240,72"/>
        <filter val="9 800,00"/>
        <filter val="92 721,17"/>
        <filter val="93 587,02"/>
        <filter val="98 965,67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68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filterMode="1">
    <pageSetUpPr fitToPage="1"/>
  </sheetPr>
  <dimension ref="A1:G95"/>
  <sheetViews>
    <sheetView view="pageBreakPreview" topLeftCell="A36" zoomScale="80" zoomScaleNormal="100" zoomScaleSheetLayoutView="80" workbookViewId="0">
      <selection activeCell="B81" sqref="B81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25" t="s">
        <v>224</v>
      </c>
      <c r="B1" s="325"/>
      <c r="C1" s="77"/>
      <c r="D1" s="77"/>
    </row>
    <row r="2" spans="1:4" ht="16.5" x14ac:dyDescent="0.25">
      <c r="A2" s="326" t="s">
        <v>225</v>
      </c>
      <c r="B2" s="326"/>
      <c r="C2" s="77"/>
      <c r="D2" s="77"/>
    </row>
    <row r="3" spans="1:4" ht="16.5" x14ac:dyDescent="0.25">
      <c r="A3" s="326" t="s">
        <v>226</v>
      </c>
      <c r="B3" s="326"/>
      <c r="C3" s="77"/>
      <c r="D3" s="77"/>
    </row>
    <row r="4" spans="1:4" ht="15.75" x14ac:dyDescent="0.25">
      <c r="A4" s="78" t="s">
        <v>516</v>
      </c>
      <c r="B4" s="78"/>
      <c r="C4" s="77"/>
      <c r="D4" s="77"/>
    </row>
    <row r="5" spans="1:4" ht="15.75" x14ac:dyDescent="0.25">
      <c r="A5" s="78" t="s">
        <v>123</v>
      </c>
      <c r="B5" s="78"/>
      <c r="C5" s="77"/>
      <c r="D5" s="77"/>
    </row>
    <row r="6" spans="1:4" ht="5.25" customHeight="1" x14ac:dyDescent="0.25">
      <c r="A6" s="78"/>
      <c r="B6" s="8"/>
      <c r="C6" s="79"/>
      <c r="D6" s="77"/>
    </row>
    <row r="7" spans="1:4" ht="16.5" thickBot="1" x14ac:dyDescent="0.3">
      <c r="A7" s="80"/>
      <c r="B7" s="8"/>
      <c r="C7" s="79"/>
      <c r="D7" s="77"/>
    </row>
    <row r="8" spans="1:4" ht="15.75" customHeight="1" x14ac:dyDescent="0.2">
      <c r="A8" s="327" t="s">
        <v>227</v>
      </c>
      <c r="B8" s="329" t="s">
        <v>228</v>
      </c>
      <c r="C8" s="331" t="s">
        <v>229</v>
      </c>
      <c r="D8" s="321" t="s">
        <v>230</v>
      </c>
    </row>
    <row r="9" spans="1:4" ht="28.5" customHeight="1" thickBot="1" x14ac:dyDescent="0.25">
      <c r="A9" s="328"/>
      <c r="B9" s="330"/>
      <c r="C9" s="332"/>
      <c r="D9" s="322"/>
    </row>
    <row r="10" spans="1:4" ht="16.5" thickBot="1" x14ac:dyDescent="0.25">
      <c r="A10" s="81" t="s">
        <v>231</v>
      </c>
      <c r="B10" s="302">
        <f>VLOOKUP(A5,мкд!S:T,2,FALSE)</f>
        <v>-965752.72</v>
      </c>
      <c r="C10" s="83"/>
      <c r="D10" s="84"/>
    </row>
    <row r="11" spans="1:4" ht="16.5" hidden="1" thickBot="1" x14ac:dyDescent="0.25">
      <c r="A11" s="85" t="s">
        <v>232</v>
      </c>
      <c r="B11" s="210"/>
      <c r="C11" s="84"/>
      <c r="D11" s="86"/>
    </row>
    <row r="12" spans="1:4" ht="16.5" thickBot="1" x14ac:dyDescent="0.3">
      <c r="A12" s="87" t="s">
        <v>233</v>
      </c>
      <c r="B12" s="217"/>
      <c r="C12" s="89" t="s">
        <v>234</v>
      </c>
      <c r="D12" s="90" t="s">
        <v>234</v>
      </c>
    </row>
    <row r="13" spans="1:4" ht="16.5" hidden="1" thickBot="1" x14ac:dyDescent="0.3">
      <c r="A13" s="91" t="s">
        <v>235</v>
      </c>
      <c r="B13" s="23">
        <v>1375.9</v>
      </c>
      <c r="C13" s="90" t="s">
        <v>234</v>
      </c>
      <c r="D13" s="92" t="s">
        <v>234</v>
      </c>
    </row>
    <row r="14" spans="1:4" ht="16.5" hidden="1" thickBot="1" x14ac:dyDescent="0.3">
      <c r="A14" s="91" t="s">
        <v>236</v>
      </c>
      <c r="B14" s="23">
        <v>123.5</v>
      </c>
      <c r="C14" s="93"/>
      <c r="D14" s="92"/>
    </row>
    <row r="15" spans="1:4" ht="16.5" hidden="1" thickBot="1" x14ac:dyDescent="0.3">
      <c r="A15" s="91" t="s">
        <v>237</v>
      </c>
      <c r="B15" s="23">
        <f>B13+B14</f>
        <v>1499.4</v>
      </c>
      <c r="C15" s="94"/>
      <c r="D15" s="95"/>
    </row>
    <row r="16" spans="1:4" ht="16.5" hidden="1" thickBot="1" x14ac:dyDescent="0.3">
      <c r="A16" s="91" t="s">
        <v>238</v>
      </c>
      <c r="B16" s="23">
        <f>1120.5+891.9/3</f>
        <v>1417.8</v>
      </c>
      <c r="C16" s="96" t="s">
        <v>234</v>
      </c>
      <c r="D16" s="95" t="s">
        <v>234</v>
      </c>
    </row>
    <row r="17" spans="1:7" ht="16.5" hidden="1" thickBot="1" x14ac:dyDescent="0.3">
      <c r="A17" s="91" t="s">
        <v>239</v>
      </c>
      <c r="B17" s="23">
        <v>0</v>
      </c>
      <c r="C17" s="90" t="s">
        <v>234</v>
      </c>
      <c r="D17" s="92" t="s">
        <v>234</v>
      </c>
      <c r="E17" s="77"/>
      <c r="F17" s="77"/>
      <c r="G17" s="77"/>
    </row>
    <row r="18" spans="1:7" ht="16.5" hidden="1" thickBot="1" x14ac:dyDescent="0.3">
      <c r="A18" s="91" t="s">
        <v>240</v>
      </c>
      <c r="B18" s="23">
        <v>678</v>
      </c>
      <c r="C18" s="95" t="s">
        <v>234</v>
      </c>
      <c r="D18" s="92" t="s">
        <v>234</v>
      </c>
      <c r="E18" s="77"/>
      <c r="F18" s="77"/>
      <c r="G18" s="77"/>
    </row>
    <row r="19" spans="1:7" ht="16.5" hidden="1" thickBot="1" x14ac:dyDescent="0.3">
      <c r="A19" s="91" t="s">
        <v>241</v>
      </c>
      <c r="B19" s="23">
        <v>0</v>
      </c>
      <c r="C19" s="95" t="s">
        <v>234</v>
      </c>
      <c r="D19" s="92" t="s">
        <v>234</v>
      </c>
      <c r="E19" s="77"/>
      <c r="F19" s="77"/>
      <c r="G19" s="77"/>
    </row>
    <row r="20" spans="1:7" ht="16.5" hidden="1" thickBot="1" x14ac:dyDescent="0.3">
      <c r="A20" s="91" t="s">
        <v>242</v>
      </c>
      <c r="B20" s="23">
        <v>826</v>
      </c>
      <c r="C20" s="95"/>
      <c r="D20" s="92"/>
      <c r="E20" s="77"/>
      <c r="F20" s="77"/>
      <c r="G20" s="77"/>
    </row>
    <row r="21" spans="1:7" ht="16.5" hidden="1" thickBot="1" x14ac:dyDescent="0.3">
      <c r="A21" s="91" t="s">
        <v>243</v>
      </c>
      <c r="B21" s="23">
        <v>0</v>
      </c>
      <c r="C21" s="95" t="s">
        <v>234</v>
      </c>
      <c r="D21" s="92" t="s">
        <v>234</v>
      </c>
      <c r="E21" s="77"/>
      <c r="F21" s="77"/>
      <c r="G21" s="77"/>
    </row>
    <row r="22" spans="1:7" ht="16.5" hidden="1" thickBot="1" x14ac:dyDescent="0.3">
      <c r="A22" s="91" t="s">
        <v>244</v>
      </c>
      <c r="B22" s="23">
        <v>78</v>
      </c>
      <c r="C22" s="93"/>
      <c r="D22" s="92"/>
      <c r="E22" s="77"/>
      <c r="F22" s="77"/>
      <c r="G22" s="77"/>
    </row>
    <row r="23" spans="1:7" ht="15.75" x14ac:dyDescent="0.25">
      <c r="A23" s="91"/>
      <c r="B23" s="23"/>
      <c r="C23" s="94"/>
      <c r="D23" s="95"/>
      <c r="E23" s="77">
        <v>10</v>
      </c>
      <c r="F23" s="77">
        <v>2</v>
      </c>
      <c r="G23" s="77"/>
    </row>
    <row r="24" spans="1:7" ht="15.75" x14ac:dyDescent="0.25">
      <c r="A24" s="97" t="s">
        <v>319</v>
      </c>
      <c r="B24" s="28">
        <f>VLOOKUP(A5,[2]Лист1!M$1:N$65536,2,FALSE)</f>
        <v>235249.88</v>
      </c>
      <c r="C24" s="92"/>
      <c r="D24" s="95"/>
      <c r="E24" s="26">
        <v>14</v>
      </c>
      <c r="F24" s="256">
        <v>15.6716</v>
      </c>
      <c r="G24" s="77"/>
    </row>
    <row r="25" spans="1:7" ht="16.5" thickBot="1" x14ac:dyDescent="0.3">
      <c r="A25" s="97" t="s">
        <v>320</v>
      </c>
      <c r="B25" s="28">
        <f>VLOOKUP(A5,[2]Лист1!M$1:O$65536,3,FALSE)</f>
        <v>229578.48</v>
      </c>
      <c r="C25" s="96"/>
      <c r="D25" s="95"/>
      <c r="E25" s="77"/>
      <c r="F25" s="77"/>
      <c r="G25" s="77"/>
    </row>
    <row r="26" spans="1:7" ht="15.75" x14ac:dyDescent="0.25">
      <c r="A26" s="97" t="s">
        <v>353</v>
      </c>
      <c r="B26" s="28">
        <v>21160.49</v>
      </c>
      <c r="C26" s="90"/>
      <c r="D26" s="92"/>
      <c r="E26" s="77"/>
      <c r="F26" s="77"/>
      <c r="G26" s="77"/>
    </row>
    <row r="27" spans="1:7" ht="16.5" thickBot="1" x14ac:dyDescent="0.3">
      <c r="A27" s="97" t="s">
        <v>354</v>
      </c>
      <c r="B27" s="28">
        <v>19284.72</v>
      </c>
      <c r="C27" s="93"/>
      <c r="D27" s="92"/>
      <c r="E27" s="77"/>
      <c r="F27" s="77"/>
      <c r="G27" s="77"/>
    </row>
    <row r="28" spans="1:7" ht="16.5" thickBot="1" x14ac:dyDescent="0.3">
      <c r="A28" s="97" t="s">
        <v>249</v>
      </c>
      <c r="B28" s="28">
        <v>7459.44</v>
      </c>
      <c r="C28" s="89"/>
      <c r="D28" s="95"/>
      <c r="E28" s="77"/>
      <c r="F28" s="77"/>
      <c r="G28" s="77"/>
    </row>
    <row r="29" spans="1:7" ht="16.5" hidden="1" thickBot="1" x14ac:dyDescent="0.3">
      <c r="A29" s="97" t="s">
        <v>250</v>
      </c>
      <c r="B29" s="28"/>
      <c r="C29" s="98"/>
      <c r="D29" s="92"/>
      <c r="E29" s="77"/>
      <c r="F29" s="77"/>
      <c r="G29" s="77"/>
    </row>
    <row r="30" spans="1:7" ht="15.75" x14ac:dyDescent="0.25">
      <c r="A30" s="99"/>
      <c r="B30" s="23"/>
      <c r="C30" s="94"/>
      <c r="D30" s="95"/>
      <c r="E30" s="77"/>
      <c r="F30" s="77"/>
      <c r="G30" s="77"/>
    </row>
    <row r="31" spans="1:7" ht="15.75" x14ac:dyDescent="0.25">
      <c r="A31" s="100" t="s">
        <v>251</v>
      </c>
      <c r="B31" s="23"/>
      <c r="C31" s="92"/>
      <c r="D31" s="95"/>
      <c r="E31" s="77"/>
      <c r="F31" s="77"/>
      <c r="G31" s="77"/>
    </row>
    <row r="32" spans="1:7" s="103" customFormat="1" ht="31.5" x14ac:dyDescent="0.25">
      <c r="A32" s="101" t="s">
        <v>252</v>
      </c>
      <c r="B32" s="208">
        <f>SUM(B33:B41)</f>
        <v>56912.57965</v>
      </c>
      <c r="C32" s="92"/>
      <c r="D32" s="95"/>
      <c r="E32" s="102">
        <f>(B86-B26-B24)/1.2/1.03</f>
        <v>135866.74216958848</v>
      </c>
      <c r="F32" s="102" t="e">
        <f>(#REF!-#REF!-#REF!)/1.2/1.03</f>
        <v>#REF!</v>
      </c>
      <c r="G32" s="102" t="e">
        <f>(#REF!-#REF!-#REF!)/1.2/1.03</f>
        <v>#REF!</v>
      </c>
    </row>
    <row r="33" spans="1:7" ht="16.5" thickBot="1" x14ac:dyDescent="0.3">
      <c r="A33" s="104" t="s">
        <v>253</v>
      </c>
      <c r="B33" s="23">
        <f>37817.25*1.1194</f>
        <v>42332.629649999995</v>
      </c>
      <c r="C33" s="96"/>
      <c r="D33" s="95">
        <v>32638.55</v>
      </c>
      <c r="E33" s="77"/>
      <c r="F33" s="77"/>
      <c r="G33" s="77"/>
    </row>
    <row r="34" spans="1:7" ht="15.75" hidden="1" x14ac:dyDescent="0.25">
      <c r="A34" s="104" t="s">
        <v>322</v>
      </c>
      <c r="B34" s="23">
        <v>0</v>
      </c>
      <c r="C34" s="90"/>
      <c r="D34" s="92">
        <v>0</v>
      </c>
      <c r="E34" s="77"/>
      <c r="F34" s="77"/>
      <c r="G34" s="77"/>
    </row>
    <row r="35" spans="1:7" ht="15.75" hidden="1" x14ac:dyDescent="0.25">
      <c r="A35" s="104" t="s">
        <v>256</v>
      </c>
      <c r="B35" s="23"/>
      <c r="C35" s="95"/>
      <c r="D35" s="92">
        <v>0</v>
      </c>
      <c r="E35" s="77"/>
      <c r="F35" s="77"/>
      <c r="G35" s="77"/>
    </row>
    <row r="36" spans="1:7" ht="15.75" x14ac:dyDescent="0.25">
      <c r="A36" s="104" t="s">
        <v>255</v>
      </c>
      <c r="B36" s="23">
        <v>10572.19</v>
      </c>
      <c r="C36" s="95" t="s">
        <v>234</v>
      </c>
      <c r="D36" s="92">
        <v>0</v>
      </c>
      <c r="E36" s="77"/>
      <c r="F36" s="77"/>
      <c r="G36" s="77"/>
    </row>
    <row r="37" spans="1:7" ht="16.5" thickBot="1" x14ac:dyDescent="0.3">
      <c r="A37" s="104" t="s">
        <v>257</v>
      </c>
      <c r="B37" s="23">
        <v>4007.76</v>
      </c>
      <c r="C37" s="95"/>
      <c r="D37" s="92">
        <v>0</v>
      </c>
      <c r="E37" s="77"/>
      <c r="F37" s="77"/>
      <c r="G37" s="77"/>
    </row>
    <row r="38" spans="1:7" ht="16.5" hidden="1" thickBot="1" x14ac:dyDescent="0.3">
      <c r="A38" s="104" t="s">
        <v>258</v>
      </c>
      <c r="B38" s="23">
        <v>0</v>
      </c>
      <c r="C38" s="95"/>
      <c r="D38" s="92">
        <v>0</v>
      </c>
      <c r="E38" s="77"/>
      <c r="F38" s="77"/>
      <c r="G38" s="77"/>
    </row>
    <row r="39" spans="1:7" ht="16.5" hidden="1" thickBot="1" x14ac:dyDescent="0.3">
      <c r="A39" s="104" t="s">
        <v>324</v>
      </c>
      <c r="B39" s="23">
        <v>0</v>
      </c>
      <c r="C39" s="95"/>
      <c r="D39" s="92">
        <v>0</v>
      </c>
      <c r="E39" s="77"/>
      <c r="F39" s="77"/>
      <c r="G39" s="77"/>
    </row>
    <row r="40" spans="1:7" ht="16.5" hidden="1" thickBot="1" x14ac:dyDescent="0.3">
      <c r="A40" s="104" t="s">
        <v>312</v>
      </c>
      <c r="B40" s="23">
        <v>0</v>
      </c>
      <c r="C40" s="95"/>
      <c r="D40" s="92"/>
      <c r="E40" s="77"/>
      <c r="F40" s="77"/>
      <c r="G40" s="77"/>
    </row>
    <row r="41" spans="1:7" ht="16.5" hidden="1" thickBot="1" x14ac:dyDescent="0.3">
      <c r="A41" s="104" t="s">
        <v>342</v>
      </c>
      <c r="B41" s="23"/>
      <c r="C41" s="93"/>
      <c r="D41" s="92"/>
      <c r="E41" s="77"/>
      <c r="F41" s="77"/>
      <c r="G41" s="77"/>
    </row>
    <row r="42" spans="1:7" s="103" customFormat="1" ht="48" thickBot="1" x14ac:dyDescent="0.3">
      <c r="A42" s="101" t="s">
        <v>325</v>
      </c>
      <c r="B42" s="208">
        <f>SUM(B43:B45)</f>
        <v>29460.309250000551</v>
      </c>
      <c r="C42" s="89"/>
      <c r="D42" s="95"/>
      <c r="E42" s="102"/>
      <c r="F42" s="102"/>
      <c r="G42" s="102"/>
    </row>
    <row r="43" spans="1:7" ht="15.75" x14ac:dyDescent="0.25">
      <c r="A43" s="104" t="s">
        <v>262</v>
      </c>
      <c r="B43" s="23">
        <v>7103.05</v>
      </c>
      <c r="C43" s="98"/>
      <c r="D43" s="108"/>
      <c r="E43" s="77"/>
      <c r="F43" s="77"/>
      <c r="G43" s="77"/>
    </row>
    <row r="44" spans="1:7" ht="15.75" x14ac:dyDescent="0.25">
      <c r="A44" s="104" t="s">
        <v>263</v>
      </c>
      <c r="B44" s="23">
        <v>13254.73</v>
      </c>
      <c r="C44" s="93"/>
      <c r="D44" s="108"/>
      <c r="E44" s="77"/>
      <c r="F44" s="77"/>
      <c r="G44" s="77"/>
    </row>
    <row r="45" spans="1:7" ht="16.5" thickBot="1" x14ac:dyDescent="0.3">
      <c r="A45" s="109" t="s">
        <v>264</v>
      </c>
      <c r="B45" s="23">
        <f>('[3]34тарифы'!D163*B15+176.6)*1.1194</f>
        <v>9102.5292500005526</v>
      </c>
      <c r="C45" s="93"/>
      <c r="D45" s="108"/>
      <c r="E45" s="77"/>
      <c r="F45" s="77"/>
      <c r="G45" s="77"/>
    </row>
    <row r="46" spans="1:7" s="79" customFormat="1" ht="16.5" thickBot="1" x14ac:dyDescent="0.3">
      <c r="A46" s="101" t="s">
        <v>265</v>
      </c>
      <c r="B46" s="208">
        <f>SUM(B47:B65)</f>
        <v>33187.72</v>
      </c>
      <c r="C46" s="89"/>
      <c r="D46" s="95"/>
    </row>
    <row r="47" spans="1:7" ht="15.75" x14ac:dyDescent="0.25">
      <c r="A47" s="104" t="s">
        <v>326</v>
      </c>
      <c r="B47" s="283">
        <v>2847.6</v>
      </c>
      <c r="C47" s="90"/>
      <c r="D47" s="92"/>
      <c r="E47" s="77" t="s">
        <v>267</v>
      </c>
      <c r="F47" s="77"/>
      <c r="G47" s="77"/>
    </row>
    <row r="48" spans="1:7" ht="15.75" x14ac:dyDescent="0.25">
      <c r="A48" s="104" t="s">
        <v>317</v>
      </c>
      <c r="B48" s="283">
        <v>3457.8</v>
      </c>
      <c r="C48" s="95"/>
      <c r="D48" s="92"/>
      <c r="E48" s="77" t="s">
        <v>269</v>
      </c>
      <c r="F48" s="77"/>
      <c r="G48" s="77"/>
    </row>
    <row r="49" spans="1:5" ht="15.75" x14ac:dyDescent="0.25">
      <c r="A49" s="110" t="s">
        <v>540</v>
      </c>
      <c r="B49" s="283">
        <v>12976.59</v>
      </c>
      <c r="C49" s="95"/>
      <c r="D49" s="92"/>
      <c r="E49" s="77"/>
    </row>
    <row r="50" spans="1:5" ht="15.75" x14ac:dyDescent="0.25">
      <c r="A50" s="110" t="s">
        <v>282</v>
      </c>
      <c r="B50" s="290">
        <v>115.73</v>
      </c>
      <c r="C50" s="95"/>
      <c r="D50" s="92">
        <v>4190</v>
      </c>
      <c r="E50" s="77"/>
    </row>
    <row r="51" spans="1:5" ht="15.75" hidden="1" x14ac:dyDescent="0.25">
      <c r="A51" s="110" t="s">
        <v>272</v>
      </c>
      <c r="B51" s="23">
        <v>0</v>
      </c>
      <c r="C51" s="95"/>
      <c r="D51" s="92"/>
      <c r="E51" s="77"/>
    </row>
    <row r="52" spans="1:5" ht="15.75" hidden="1" x14ac:dyDescent="0.25">
      <c r="A52" s="110" t="s">
        <v>273</v>
      </c>
      <c r="B52" s="23">
        <f>B21*'[3]34тарифы'!D177</f>
        <v>0</v>
      </c>
      <c r="C52" s="95"/>
      <c r="D52" s="92">
        <v>105.14</v>
      </c>
      <c r="E52" s="77"/>
    </row>
    <row r="53" spans="1:5" ht="15.75" hidden="1" x14ac:dyDescent="0.25">
      <c r="A53" s="110" t="s">
        <v>274</v>
      </c>
      <c r="B53" s="23">
        <v>0</v>
      </c>
      <c r="C53" s="95">
        <v>0</v>
      </c>
      <c r="D53" s="92">
        <v>522.99</v>
      </c>
      <c r="E53" s="77"/>
    </row>
    <row r="54" spans="1:5" ht="15.75" hidden="1" x14ac:dyDescent="0.25">
      <c r="A54" s="110" t="s">
        <v>275</v>
      </c>
      <c r="B54" s="23">
        <v>0</v>
      </c>
      <c r="C54" s="95">
        <v>0</v>
      </c>
      <c r="D54" s="111">
        <v>695.13</v>
      </c>
      <c r="E54" s="77"/>
    </row>
    <row r="55" spans="1:5" ht="15.75" hidden="1" x14ac:dyDescent="0.25">
      <c r="A55" s="110" t="s">
        <v>276</v>
      </c>
      <c r="B55" s="23">
        <v>0</v>
      </c>
      <c r="C55" s="95"/>
      <c r="D55" s="111"/>
      <c r="E55" s="77"/>
    </row>
    <row r="56" spans="1:5" ht="15.75" hidden="1" x14ac:dyDescent="0.25">
      <c r="A56" s="110" t="s">
        <v>277</v>
      </c>
      <c r="B56" s="23">
        <v>0</v>
      </c>
      <c r="C56" s="95">
        <v>0</v>
      </c>
      <c r="D56" s="92">
        <f>10695.76/1.18</f>
        <v>9064.203389830509</v>
      </c>
      <c r="E56" s="77"/>
    </row>
    <row r="57" spans="1:5" ht="15.75" hidden="1" x14ac:dyDescent="0.25">
      <c r="A57" s="110" t="s">
        <v>314</v>
      </c>
      <c r="B57" s="23">
        <v>0</v>
      </c>
      <c r="C57" s="95">
        <v>0</v>
      </c>
      <c r="D57" s="92">
        <f>2300/1.18</f>
        <v>1949.1525423728815</v>
      </c>
      <c r="E57" s="77"/>
    </row>
    <row r="58" spans="1:5" ht="15.75" x14ac:dyDescent="0.25">
      <c r="A58" s="110" t="s">
        <v>316</v>
      </c>
      <c r="B58" s="283">
        <v>0</v>
      </c>
      <c r="C58" s="93">
        <v>0</v>
      </c>
      <c r="D58" s="92">
        <v>0</v>
      </c>
      <c r="E58" s="77"/>
    </row>
    <row r="59" spans="1:5" ht="16.5" hidden="1" thickBot="1" x14ac:dyDescent="0.3">
      <c r="A59" s="110" t="s">
        <v>279</v>
      </c>
      <c r="B59" s="23">
        <f>B13*'[3]34тарифы'!D184</f>
        <v>0</v>
      </c>
      <c r="C59" s="89"/>
      <c r="D59" s="95"/>
      <c r="E59" s="77"/>
    </row>
    <row r="60" spans="1:5" ht="15.75" hidden="1" x14ac:dyDescent="0.25">
      <c r="A60" s="104" t="s">
        <v>280</v>
      </c>
      <c r="B60" s="23">
        <v>0</v>
      </c>
      <c r="C60" s="90"/>
      <c r="D60" s="92"/>
      <c r="E60" s="77"/>
    </row>
    <row r="61" spans="1:5" ht="15.75" hidden="1" x14ac:dyDescent="0.25">
      <c r="A61" s="104" t="s">
        <v>281</v>
      </c>
      <c r="B61" s="23">
        <v>0</v>
      </c>
      <c r="C61" s="95"/>
      <c r="D61" s="92">
        <v>0</v>
      </c>
      <c r="E61" s="77"/>
    </row>
    <row r="62" spans="1:5" ht="15.75" hidden="1" x14ac:dyDescent="0.25">
      <c r="A62" s="104" t="s">
        <v>340</v>
      </c>
      <c r="B62" s="23">
        <v>0</v>
      </c>
      <c r="C62" s="95"/>
      <c r="D62" s="92">
        <v>0</v>
      </c>
      <c r="E62" s="77"/>
    </row>
    <row r="63" spans="1:5" ht="16.5" thickBot="1" x14ac:dyDescent="0.3">
      <c r="A63" s="104" t="s">
        <v>341</v>
      </c>
      <c r="B63" s="283">
        <v>13790</v>
      </c>
      <c r="C63" s="113">
        <v>1</v>
      </c>
      <c r="D63" s="92">
        <v>0</v>
      </c>
      <c r="E63" s="77"/>
    </row>
    <row r="64" spans="1:5" ht="16.5" hidden="1" thickBot="1" x14ac:dyDescent="0.3">
      <c r="A64" s="104" t="s">
        <v>284</v>
      </c>
      <c r="B64" s="229">
        <v>0</v>
      </c>
      <c r="C64" s="114">
        <v>33</v>
      </c>
      <c r="D64" s="95">
        <v>2</v>
      </c>
      <c r="E64" s="77">
        <v>1</v>
      </c>
    </row>
    <row r="65" spans="1:4" s="79" customFormat="1" ht="16.5" hidden="1" thickBot="1" x14ac:dyDescent="0.3">
      <c r="A65" s="104" t="s">
        <v>285</v>
      </c>
      <c r="B65" s="229">
        <v>0</v>
      </c>
      <c r="C65" s="115">
        <v>35</v>
      </c>
      <c r="D65" s="108">
        <f>650/1.18</f>
        <v>550.84745762711873</v>
      </c>
    </row>
    <row r="66" spans="1:4" s="79" customFormat="1" ht="16.5" thickBot="1" x14ac:dyDescent="0.3">
      <c r="A66" s="116" t="s">
        <v>286</v>
      </c>
      <c r="B66" s="208">
        <f>SUM(B67:B74)</f>
        <v>121703.85432191129</v>
      </c>
      <c r="C66" s="89"/>
      <c r="D66" s="93"/>
    </row>
    <row r="67" spans="1:4" ht="16.5" hidden="1" thickBot="1" x14ac:dyDescent="0.3">
      <c r="A67" s="104" t="s">
        <v>287</v>
      </c>
      <c r="B67" s="23">
        <v>0</v>
      </c>
      <c r="C67" s="98"/>
      <c r="D67" s="108"/>
    </row>
    <row r="68" spans="1:4" ht="16.5" thickBot="1" x14ac:dyDescent="0.3">
      <c r="A68" s="104" t="s">
        <v>288</v>
      </c>
      <c r="B68" s="23">
        <f>51793*1.04*1.1194</f>
        <v>60296.167567999997</v>
      </c>
      <c r="C68" s="89"/>
      <c r="D68" s="93"/>
    </row>
    <row r="69" spans="1:4" ht="15.75" hidden="1" x14ac:dyDescent="0.25">
      <c r="A69" s="104" t="s">
        <v>289</v>
      </c>
      <c r="B69" s="23">
        <v>0</v>
      </c>
      <c r="C69" s="98"/>
      <c r="D69" s="108"/>
    </row>
    <row r="70" spans="1:4" ht="16.5" thickBot="1" x14ac:dyDescent="0.3">
      <c r="A70" s="109" t="s">
        <v>290</v>
      </c>
      <c r="B70" s="23">
        <f>'[3]34тарифы'!D164*B13*1.1194</f>
        <v>1698.0082276933022</v>
      </c>
      <c r="C70" s="93"/>
      <c r="D70" s="108"/>
    </row>
    <row r="71" spans="1:4" ht="15.75" x14ac:dyDescent="0.25">
      <c r="A71" s="109" t="s">
        <v>291</v>
      </c>
      <c r="B71" s="23">
        <f>VLOOKUP(A71,[2]Лист1!S$1:T$65536,2,FALSE)*B15</f>
        <v>6934.5823083459882</v>
      </c>
      <c r="C71" s="117"/>
      <c r="D71" s="93"/>
    </row>
    <row r="72" spans="1:4" ht="15.75" x14ac:dyDescent="0.25">
      <c r="A72" s="109" t="s">
        <v>292</v>
      </c>
      <c r="B72" s="23">
        <f>VLOOKUP(A72,[2]Лист1!S$1:T$65536,2,FALSE)*B15</f>
        <v>24207.381353872002</v>
      </c>
      <c r="C72" s="108"/>
      <c r="D72" s="93"/>
    </row>
    <row r="73" spans="1:4" ht="15.75" x14ac:dyDescent="0.25">
      <c r="A73" s="41" t="s">
        <v>293</v>
      </c>
      <c r="B73" s="23">
        <f>2598*1.04*1.1194</f>
        <v>3024.5292479999998</v>
      </c>
      <c r="C73" s="108"/>
      <c r="D73" s="93"/>
    </row>
    <row r="74" spans="1:4" ht="15.75" x14ac:dyDescent="0.25">
      <c r="A74" s="109" t="s">
        <v>294</v>
      </c>
      <c r="B74" s="23">
        <f>21941*1.04*1.1194</f>
        <v>25543.185615999999</v>
      </c>
      <c r="C74" s="108"/>
      <c r="D74" s="93"/>
    </row>
    <row r="75" spans="1:4" ht="47.25" x14ac:dyDescent="0.25">
      <c r="A75" s="118" t="s">
        <v>328</v>
      </c>
      <c r="B75" s="208">
        <f>SUM(B76:B76)</f>
        <v>52056.129839999994</v>
      </c>
      <c r="C75" s="108"/>
      <c r="D75" s="93"/>
    </row>
    <row r="76" spans="1:4" ht="15.75" x14ac:dyDescent="0.25">
      <c r="A76" s="109" t="s">
        <v>296</v>
      </c>
      <c r="B76" s="23">
        <f>44715*1.04*1.1194</f>
        <v>52056.129839999994</v>
      </c>
      <c r="C76" s="108"/>
      <c r="D76" s="93"/>
    </row>
    <row r="77" spans="1:4" s="79" customFormat="1" ht="15.75" x14ac:dyDescent="0.25">
      <c r="A77" s="116" t="s">
        <v>297</v>
      </c>
      <c r="B77" s="208">
        <f>SUM(B78:B81)</f>
        <v>49997.904771107074</v>
      </c>
      <c r="C77" s="108"/>
      <c r="D77" s="93"/>
    </row>
    <row r="78" spans="1:4" ht="32.25" thickBot="1" x14ac:dyDescent="0.3">
      <c r="A78" s="119" t="s">
        <v>329</v>
      </c>
      <c r="B78" s="23">
        <f>'[3]34тарифы'!D170*B15*1.1194</f>
        <v>36167.009192451857</v>
      </c>
      <c r="C78" s="96"/>
      <c r="D78" s="93"/>
    </row>
    <row r="79" spans="1:4" ht="16.5" thickBot="1" x14ac:dyDescent="0.3">
      <c r="A79" s="51" t="s">
        <v>299</v>
      </c>
      <c r="B79" s="23">
        <f>(B26/1.2)*30%</f>
        <v>5290.1225000000004</v>
      </c>
      <c r="C79" s="98"/>
      <c r="D79" s="108"/>
    </row>
    <row r="80" spans="1:4" ht="15.75" x14ac:dyDescent="0.25">
      <c r="A80" s="120" t="s">
        <v>330</v>
      </c>
      <c r="B80" s="23">
        <f>2930.5+2587.39</f>
        <v>5517.8899999999994</v>
      </c>
      <c r="C80" s="117"/>
      <c r="D80" s="93"/>
    </row>
    <row r="81" spans="1:4" ht="15.75" x14ac:dyDescent="0.25">
      <c r="A81" s="120" t="s">
        <v>331</v>
      </c>
      <c r="B81" s="23">
        <f>'[3]34тарифы'!D173*B13*1.1194</f>
        <v>3022.8830786552244</v>
      </c>
      <c r="C81" s="108"/>
      <c r="D81" s="93"/>
    </row>
    <row r="82" spans="1:4" ht="15.75" x14ac:dyDescent="0.25">
      <c r="A82" s="121" t="s">
        <v>302</v>
      </c>
      <c r="B82" s="28">
        <f>B32+B42+B46+B66+B75+B77</f>
        <v>343318.49783301889</v>
      </c>
      <c r="C82" s="108"/>
      <c r="D82" s="93"/>
    </row>
    <row r="83" spans="1:4" ht="15.75" x14ac:dyDescent="0.25">
      <c r="A83" s="122" t="s">
        <v>303</v>
      </c>
      <c r="B83" s="23">
        <f>B82*0.03</f>
        <v>10299.554934990567</v>
      </c>
      <c r="C83" s="108"/>
      <c r="D83" s="93"/>
    </row>
    <row r="84" spans="1:4" s="103" customFormat="1" ht="15.75" x14ac:dyDescent="0.25">
      <c r="A84" s="123" t="s">
        <v>304</v>
      </c>
      <c r="B84" s="208">
        <f>B82+B83</f>
        <v>353618.05276800948</v>
      </c>
      <c r="C84" s="108"/>
      <c r="D84" s="93"/>
    </row>
    <row r="85" spans="1:4" ht="16.5" thickBot="1" x14ac:dyDescent="0.3">
      <c r="A85" s="124" t="s">
        <v>305</v>
      </c>
      <c r="B85" s="240">
        <f>B84*0.2</f>
        <v>70723.610553601902</v>
      </c>
      <c r="C85" s="108"/>
      <c r="D85" s="93"/>
    </row>
    <row r="86" spans="1:4" s="79" customFormat="1" ht="16.5" thickBot="1" x14ac:dyDescent="0.3">
      <c r="A86" s="125" t="s">
        <v>306</v>
      </c>
      <c r="B86" s="66">
        <f>B84+B85</f>
        <v>424341.66332161136</v>
      </c>
      <c r="C86" s="89"/>
      <c r="D86" s="126"/>
    </row>
    <row r="87" spans="1:4" s="79" customFormat="1" ht="16.5" thickBot="1" x14ac:dyDescent="0.3">
      <c r="A87" s="127" t="s">
        <v>307</v>
      </c>
      <c r="B87" s="296">
        <f>B10+B24+B26+B28+B29-B86</f>
        <v>-1126224.5733216114</v>
      </c>
      <c r="C87" s="128"/>
      <c r="D87" s="129"/>
    </row>
    <row r="88" spans="1:4" s="79" customFormat="1" ht="16.5" thickBot="1" x14ac:dyDescent="0.3">
      <c r="A88" s="130" t="s">
        <v>308</v>
      </c>
      <c r="B88" s="66">
        <f>B10+B25+B27+B28+B29-B86</f>
        <v>-1133771.7433216115</v>
      </c>
      <c r="C88" s="131"/>
      <c r="D88" s="129"/>
    </row>
    <row r="89" spans="1:4" s="79" customFormat="1" ht="16.5" hidden="1" thickBot="1" x14ac:dyDescent="0.3">
      <c r="A89" s="132" t="s">
        <v>309</v>
      </c>
      <c r="B89" s="66">
        <f>B11+B24-B25</f>
        <v>5671.3999999999942</v>
      </c>
      <c r="C89" s="129"/>
      <c r="D89" s="129"/>
    </row>
    <row r="90" spans="1:4" s="79" customFormat="1" ht="15.75" x14ac:dyDescent="0.25">
      <c r="A90" s="133"/>
      <c r="B90" s="242"/>
      <c r="C90" s="129"/>
      <c r="D90" s="129"/>
    </row>
    <row r="91" spans="1:4" ht="15.75" x14ac:dyDescent="0.25">
      <c r="A91" s="134"/>
      <c r="B91" s="3"/>
      <c r="C91" s="77"/>
      <c r="D91" s="77"/>
    </row>
    <row r="92" spans="1:4" ht="15.75" x14ac:dyDescent="0.25">
      <c r="A92" s="323" t="s">
        <v>332</v>
      </c>
      <c r="B92" s="323"/>
      <c r="C92" s="77"/>
      <c r="D92" s="77"/>
    </row>
    <row r="93" spans="1:4" ht="15.75" x14ac:dyDescent="0.25">
      <c r="A93" s="134"/>
      <c r="B93" s="3"/>
      <c r="C93" s="77"/>
      <c r="D93" s="77"/>
    </row>
    <row r="94" spans="1:4" ht="15.75" hidden="1" x14ac:dyDescent="0.25">
      <c r="A94" s="324" t="s">
        <v>333</v>
      </c>
      <c r="B94" s="324"/>
      <c r="C94" s="135"/>
      <c r="D94" s="77"/>
    </row>
    <row r="95" spans="1:4" ht="15.75" x14ac:dyDescent="0.25">
      <c r="A95" s="77"/>
      <c r="B95" s="3"/>
      <c r="C95" s="77"/>
      <c r="D95" s="77"/>
    </row>
  </sheetData>
  <autoFilter ref="A31:G89" xr:uid="{00000000-0009-0000-0000-000028000000}">
    <filterColumn colId="1">
      <filters>
        <filter val="1 698,01"/>
        <filter val="10 572,19"/>
        <filter val="10 730,70"/>
        <filter val="121 703,85"/>
        <filter val="13 254,73"/>
        <filter val="13 456,57"/>
        <filter val="2 847,60"/>
        <filter val="23 290,38"/>
        <filter val="24 207,38"/>
        <filter val="25 543,19"/>
        <filter val="29 460,31"/>
        <filter val="3 022,88"/>
        <filter val="3 024,53"/>
        <filter val="3 321,12"/>
        <filter val="3 457,80"/>
        <filter val="306,33"/>
        <filter val="357 689,84"/>
        <filter val="36 167,01"/>
        <filter val="368 420,53"/>
        <filter val="4 007,76"/>
        <filter val="42 332,63"/>
        <filter val="442 104,64"/>
        <filter val="46 679,80"/>
        <filter val="5 290,12"/>
        <filter val="5 671,40"/>
        <filter val="50 877,16"/>
        <filter val="52 056,13"/>
        <filter val="56 912,58"/>
        <filter val="6 397,15"/>
        <filter val="6 934,58"/>
        <filter val="60 296,17"/>
        <filter val="7 103,05"/>
        <filter val="73 684,11"/>
        <filter val="9 102,53"/>
        <filter val="-965 752,72"/>
        <filter val="-973 299,89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78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filterMode="1">
    <pageSetUpPr fitToPage="1"/>
  </sheetPr>
  <dimension ref="A1:G95"/>
  <sheetViews>
    <sheetView view="pageBreakPreview" topLeftCell="A41" zoomScale="80" zoomScaleNormal="100" zoomScaleSheetLayoutView="80" workbookViewId="0">
      <selection activeCell="B81" sqref="B81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25" t="s">
        <v>224</v>
      </c>
      <c r="B1" s="313"/>
      <c r="C1" s="77"/>
      <c r="D1" s="77"/>
    </row>
    <row r="2" spans="1:4" ht="16.5" x14ac:dyDescent="0.25">
      <c r="A2" s="326" t="s">
        <v>225</v>
      </c>
      <c r="B2" s="315"/>
      <c r="C2" s="77"/>
      <c r="D2" s="77"/>
    </row>
    <row r="3" spans="1:4" ht="16.5" x14ac:dyDescent="0.25">
      <c r="A3" s="326" t="s">
        <v>226</v>
      </c>
      <c r="B3" s="315"/>
      <c r="C3" s="77"/>
      <c r="D3" s="77"/>
    </row>
    <row r="4" spans="1:4" ht="15.75" x14ac:dyDescent="0.25">
      <c r="A4" s="78" t="s">
        <v>516</v>
      </c>
      <c r="B4" s="4"/>
      <c r="C4" s="77"/>
      <c r="D4" s="77"/>
    </row>
    <row r="5" spans="1:4" ht="15.75" x14ac:dyDescent="0.25">
      <c r="A5" s="78" t="s">
        <v>132</v>
      </c>
      <c r="B5" s="4"/>
      <c r="C5" s="77"/>
      <c r="D5" s="77"/>
    </row>
    <row r="6" spans="1:4" ht="5.25" customHeight="1" x14ac:dyDescent="0.25">
      <c r="A6" s="78"/>
      <c r="B6" s="8"/>
      <c r="C6" s="79"/>
      <c r="D6" s="77"/>
    </row>
    <row r="7" spans="1:4" ht="16.5" thickBot="1" x14ac:dyDescent="0.3">
      <c r="A7" s="80"/>
      <c r="B7" s="8"/>
      <c r="C7" s="79"/>
      <c r="D7" s="77"/>
    </row>
    <row r="8" spans="1:4" ht="15.75" customHeight="1" x14ac:dyDescent="0.2">
      <c r="A8" s="327" t="s">
        <v>227</v>
      </c>
      <c r="B8" s="329" t="s">
        <v>228</v>
      </c>
      <c r="C8" s="331" t="s">
        <v>229</v>
      </c>
      <c r="D8" s="321" t="s">
        <v>230</v>
      </c>
    </row>
    <row r="9" spans="1:4" ht="28.5" customHeight="1" thickBot="1" x14ac:dyDescent="0.25">
      <c r="A9" s="328"/>
      <c r="B9" s="330"/>
      <c r="C9" s="332"/>
      <c r="D9" s="322"/>
    </row>
    <row r="10" spans="1:4" ht="16.5" thickBot="1" x14ac:dyDescent="0.25">
      <c r="A10" s="81" t="s">
        <v>231</v>
      </c>
      <c r="B10" s="302">
        <f>VLOOKUP(A5,мкд!S:T,2,FALSE)</f>
        <v>-889764.02</v>
      </c>
      <c r="C10" s="83"/>
      <c r="D10" s="84"/>
    </row>
    <row r="11" spans="1:4" ht="16.5" hidden="1" thickBot="1" x14ac:dyDescent="0.25">
      <c r="A11" s="85" t="s">
        <v>232</v>
      </c>
      <c r="B11" s="291"/>
      <c r="C11" s="84"/>
      <c r="D11" s="86"/>
    </row>
    <row r="12" spans="1:4" ht="16.5" thickBot="1" x14ac:dyDescent="0.3">
      <c r="A12" s="87" t="s">
        <v>233</v>
      </c>
      <c r="B12" s="217"/>
      <c r="C12" s="89" t="s">
        <v>234</v>
      </c>
      <c r="D12" s="90" t="s">
        <v>234</v>
      </c>
    </row>
    <row r="13" spans="1:4" ht="16.5" hidden="1" thickBot="1" x14ac:dyDescent="0.3">
      <c r="A13" s="91" t="s">
        <v>235</v>
      </c>
      <c r="B13" s="23">
        <v>2601.8000000000002</v>
      </c>
      <c r="C13" s="90" t="s">
        <v>234</v>
      </c>
      <c r="D13" s="92" t="s">
        <v>234</v>
      </c>
    </row>
    <row r="14" spans="1:4" ht="16.5" hidden="1" thickBot="1" x14ac:dyDescent="0.3">
      <c r="A14" s="91" t="s">
        <v>236</v>
      </c>
      <c r="B14" s="23">
        <v>0</v>
      </c>
      <c r="C14" s="93"/>
      <c r="D14" s="92"/>
    </row>
    <row r="15" spans="1:4" ht="16.5" hidden="1" thickBot="1" x14ac:dyDescent="0.3">
      <c r="A15" s="91" t="s">
        <v>237</v>
      </c>
      <c r="B15" s="23">
        <f>B13+B14</f>
        <v>2601.8000000000002</v>
      </c>
      <c r="C15" s="94"/>
      <c r="D15" s="95"/>
    </row>
    <row r="16" spans="1:4" ht="16.5" hidden="1" thickBot="1" x14ac:dyDescent="0.3">
      <c r="A16" s="91" t="s">
        <v>238</v>
      </c>
      <c r="B16" s="23">
        <f>527.8+2020.8/3</f>
        <v>1201.4000000000001</v>
      </c>
      <c r="C16" s="96" t="s">
        <v>234</v>
      </c>
      <c r="D16" s="95" t="s">
        <v>234</v>
      </c>
    </row>
    <row r="17" spans="1:7" ht="16.5" hidden="1" thickBot="1" x14ac:dyDescent="0.3">
      <c r="A17" s="91" t="s">
        <v>239</v>
      </c>
      <c r="B17" s="147">
        <v>0</v>
      </c>
      <c r="C17" s="90" t="s">
        <v>234</v>
      </c>
      <c r="D17" s="92" t="s">
        <v>234</v>
      </c>
      <c r="E17" s="77"/>
      <c r="F17" s="77"/>
      <c r="G17" s="77"/>
    </row>
    <row r="18" spans="1:7" ht="16.5" hidden="1" thickBot="1" x14ac:dyDescent="0.3">
      <c r="A18" s="91" t="s">
        <v>240</v>
      </c>
      <c r="B18" s="147">
        <v>675.1</v>
      </c>
      <c r="C18" s="95" t="s">
        <v>234</v>
      </c>
      <c r="D18" s="92" t="s">
        <v>234</v>
      </c>
      <c r="E18" s="77"/>
      <c r="F18" s="77"/>
      <c r="G18" s="77"/>
    </row>
    <row r="19" spans="1:7" ht="16.5" hidden="1" thickBot="1" x14ac:dyDescent="0.3">
      <c r="A19" s="91" t="s">
        <v>241</v>
      </c>
      <c r="B19" s="147">
        <v>0</v>
      </c>
      <c r="C19" s="95" t="s">
        <v>234</v>
      </c>
      <c r="D19" s="92" t="s">
        <v>234</v>
      </c>
      <c r="E19" s="77"/>
      <c r="F19" s="77"/>
      <c r="G19" s="77"/>
    </row>
    <row r="20" spans="1:7" ht="16.5" hidden="1" thickBot="1" x14ac:dyDescent="0.3">
      <c r="A20" s="91" t="s">
        <v>242</v>
      </c>
      <c r="B20" s="147">
        <v>742.6</v>
      </c>
      <c r="C20" s="95"/>
      <c r="D20" s="92"/>
      <c r="E20" s="77"/>
      <c r="F20" s="77"/>
      <c r="G20" s="77"/>
    </row>
    <row r="21" spans="1:7" ht="16.5" hidden="1" thickBot="1" x14ac:dyDescent="0.3">
      <c r="A21" s="91" t="s">
        <v>243</v>
      </c>
      <c r="B21" s="147">
        <v>0</v>
      </c>
      <c r="C21" s="95" t="s">
        <v>234</v>
      </c>
      <c r="D21" s="92" t="s">
        <v>234</v>
      </c>
      <c r="E21" s="77"/>
      <c r="F21" s="77"/>
      <c r="G21" s="77"/>
    </row>
    <row r="22" spans="1:7" ht="16.5" hidden="1" thickBot="1" x14ac:dyDescent="0.3">
      <c r="A22" s="91" t="s">
        <v>244</v>
      </c>
      <c r="B22" s="147">
        <v>134</v>
      </c>
      <c r="C22" s="93"/>
      <c r="D22" s="92"/>
      <c r="E22" s="77"/>
      <c r="F22" s="77"/>
      <c r="G22" s="77"/>
    </row>
    <row r="23" spans="1:7" ht="15.75" x14ac:dyDescent="0.25">
      <c r="A23" s="91"/>
      <c r="B23" s="23"/>
      <c r="C23" s="94"/>
      <c r="D23" s="95"/>
      <c r="E23" s="77">
        <v>10</v>
      </c>
      <c r="F23" s="77">
        <v>2</v>
      </c>
      <c r="G23" s="77"/>
    </row>
    <row r="24" spans="1:7" ht="15.75" x14ac:dyDescent="0.25">
      <c r="A24" s="97" t="s">
        <v>319</v>
      </c>
      <c r="B24" s="28">
        <f>VLOOKUP(A5,[2]Лист1!M$1:N$65536,2,FALSE)</f>
        <v>458371.08</v>
      </c>
      <c r="C24" s="92"/>
      <c r="D24" s="95"/>
      <c r="E24" s="26">
        <v>14.389999999999999</v>
      </c>
      <c r="F24" s="256">
        <v>16.108165999999997</v>
      </c>
      <c r="G24" s="77"/>
    </row>
    <row r="25" spans="1:7" ht="16.5" thickBot="1" x14ac:dyDescent="0.3">
      <c r="A25" s="97" t="s">
        <v>320</v>
      </c>
      <c r="B25" s="28">
        <f>VLOOKUP(A5,[2]Лист1!M$1:O$65536,3,FALSE)</f>
        <v>439632.57</v>
      </c>
      <c r="C25" s="96"/>
      <c r="D25" s="95"/>
      <c r="E25" s="77"/>
      <c r="F25" s="77"/>
      <c r="G25" s="77"/>
    </row>
    <row r="26" spans="1:7" ht="16.5" hidden="1" thickBot="1" x14ac:dyDescent="0.3">
      <c r="A26" s="97" t="s">
        <v>321</v>
      </c>
      <c r="B26" s="282"/>
      <c r="C26" s="90"/>
      <c r="D26" s="92"/>
      <c r="E26" s="77"/>
      <c r="F26" s="77"/>
      <c r="G26" s="77"/>
    </row>
    <row r="27" spans="1:7" ht="16.5" hidden="1" thickBot="1" x14ac:dyDescent="0.3">
      <c r="A27" s="97" t="s">
        <v>248</v>
      </c>
      <c r="B27" s="282">
        <f>B26</f>
        <v>0</v>
      </c>
      <c r="C27" s="93"/>
      <c r="D27" s="92"/>
      <c r="E27" s="77"/>
      <c r="F27" s="77"/>
      <c r="G27" s="77"/>
    </row>
    <row r="28" spans="1:7" ht="16.5" thickBot="1" x14ac:dyDescent="0.3">
      <c r="A28" s="97" t="s">
        <v>249</v>
      </c>
      <c r="B28" s="28">
        <v>7459.44</v>
      </c>
      <c r="C28" s="89"/>
      <c r="D28" s="95"/>
      <c r="E28" s="77"/>
      <c r="F28" s="77"/>
      <c r="G28" s="77"/>
    </row>
    <row r="29" spans="1:7" ht="16.5" hidden="1" thickBot="1" x14ac:dyDescent="0.3">
      <c r="A29" s="97" t="s">
        <v>250</v>
      </c>
      <c r="B29" s="282"/>
      <c r="C29" s="98"/>
      <c r="D29" s="92"/>
      <c r="E29" s="77"/>
      <c r="F29" s="77"/>
      <c r="G29" s="77"/>
    </row>
    <row r="30" spans="1:7" ht="15.75" x14ac:dyDescent="0.25">
      <c r="A30" s="99"/>
      <c r="B30" s="23"/>
      <c r="C30" s="94"/>
      <c r="D30" s="95"/>
      <c r="E30" s="77"/>
      <c r="F30" s="77"/>
      <c r="G30" s="77"/>
    </row>
    <row r="31" spans="1:7" ht="15.75" x14ac:dyDescent="0.25">
      <c r="A31" s="100" t="s">
        <v>251</v>
      </c>
      <c r="B31" s="23"/>
      <c r="C31" s="92"/>
      <c r="D31" s="95"/>
      <c r="E31" s="77"/>
      <c r="F31" s="77"/>
      <c r="G31" s="77"/>
    </row>
    <row r="32" spans="1:7" s="103" customFormat="1" ht="31.5" x14ac:dyDescent="0.25">
      <c r="A32" s="101" t="s">
        <v>252</v>
      </c>
      <c r="B32" s="208">
        <f>SUM(B33:B41)</f>
        <v>156394.79973773361</v>
      </c>
      <c r="C32" s="92"/>
      <c r="D32" s="95"/>
      <c r="E32" s="102">
        <f>(B86-B26-B24)/1.2/1.03</f>
        <v>255347.08436009675</v>
      </c>
      <c r="F32" s="102" t="e">
        <f>(#REF!-#REF!-#REF!)/1.2/1.03</f>
        <v>#REF!</v>
      </c>
      <c r="G32" s="102" t="e">
        <f>(#REF!-#REF!-#REF!)/1.2/1.03</f>
        <v>#REF!</v>
      </c>
    </row>
    <row r="33" spans="1:7" ht="16.5" thickBot="1" x14ac:dyDescent="0.3">
      <c r="A33" s="104" t="s">
        <v>253</v>
      </c>
      <c r="B33" s="23">
        <v>33134.769737733572</v>
      </c>
      <c r="C33" s="96"/>
      <c r="D33" s="95">
        <v>21980.7</v>
      </c>
      <c r="E33" s="77"/>
      <c r="F33" s="77"/>
      <c r="G33" s="77"/>
    </row>
    <row r="34" spans="1:7" ht="15.75" hidden="1" x14ac:dyDescent="0.25">
      <c r="A34" s="104" t="s">
        <v>322</v>
      </c>
      <c r="B34" s="23">
        <v>0</v>
      </c>
      <c r="C34" s="90"/>
      <c r="D34" s="92">
        <v>0</v>
      </c>
      <c r="E34" s="77"/>
      <c r="F34" s="77"/>
      <c r="G34" s="77"/>
    </row>
    <row r="35" spans="1:7" ht="15.75" x14ac:dyDescent="0.25">
      <c r="A35" s="104" t="s">
        <v>256</v>
      </c>
      <c r="B35" s="23">
        <v>4725.4799999999996</v>
      </c>
      <c r="C35" s="95"/>
      <c r="D35" s="92">
        <v>0</v>
      </c>
      <c r="E35" s="77"/>
      <c r="F35" s="77"/>
      <c r="G35" s="77"/>
    </row>
    <row r="36" spans="1:7" ht="15.75" hidden="1" x14ac:dyDescent="0.25">
      <c r="A36" s="104" t="s">
        <v>255</v>
      </c>
      <c r="B36" s="23"/>
      <c r="C36" s="95" t="s">
        <v>234</v>
      </c>
      <c r="D36" s="92">
        <v>0</v>
      </c>
      <c r="E36" s="77"/>
      <c r="F36" s="77"/>
      <c r="G36" s="77"/>
    </row>
    <row r="37" spans="1:7" ht="15.75" hidden="1" x14ac:dyDescent="0.25">
      <c r="A37" s="104" t="s">
        <v>257</v>
      </c>
      <c r="B37" s="23"/>
      <c r="C37" s="95"/>
      <c r="D37" s="92">
        <v>0</v>
      </c>
      <c r="E37" s="77"/>
      <c r="F37" s="77"/>
      <c r="G37" s="77"/>
    </row>
    <row r="38" spans="1:7" ht="15.75" hidden="1" x14ac:dyDescent="0.25">
      <c r="A38" s="104" t="s">
        <v>343</v>
      </c>
      <c r="B38" s="23">
        <v>0</v>
      </c>
      <c r="C38" s="95"/>
      <c r="D38" s="92">
        <v>0</v>
      </c>
      <c r="E38" s="77"/>
      <c r="F38" s="77"/>
      <c r="G38" s="77"/>
    </row>
    <row r="39" spans="1:7" ht="15.75" hidden="1" x14ac:dyDescent="0.25">
      <c r="A39" s="104" t="s">
        <v>324</v>
      </c>
      <c r="B39" s="147">
        <v>0</v>
      </c>
      <c r="C39" s="95"/>
      <c r="D39" s="92">
        <v>0</v>
      </c>
      <c r="E39" s="77"/>
      <c r="F39" s="77"/>
      <c r="G39" s="77"/>
    </row>
    <row r="40" spans="1:7" ht="15.75" hidden="1" x14ac:dyDescent="0.25">
      <c r="A40" s="104" t="s">
        <v>312</v>
      </c>
      <c r="B40" s="147">
        <v>0</v>
      </c>
      <c r="C40" s="95"/>
      <c r="D40" s="92"/>
      <c r="E40" s="77"/>
      <c r="F40" s="77"/>
      <c r="G40" s="77"/>
    </row>
    <row r="41" spans="1:7" ht="16.5" thickBot="1" x14ac:dyDescent="0.3">
      <c r="A41" s="104" t="s">
        <v>343</v>
      </c>
      <c r="B41" s="147">
        <v>118534.55000000006</v>
      </c>
      <c r="C41" s="93"/>
      <c r="D41" s="92"/>
      <c r="E41" s="77"/>
      <c r="F41" s="77"/>
      <c r="G41" s="77"/>
    </row>
    <row r="42" spans="1:7" s="103" customFormat="1" ht="48" thickBot="1" x14ac:dyDescent="0.3">
      <c r="A42" s="101" t="s">
        <v>325</v>
      </c>
      <c r="B42" s="208">
        <f>SUM(B43:B45)</f>
        <v>58593.865905378101</v>
      </c>
      <c r="C42" s="89"/>
      <c r="D42" s="95"/>
      <c r="E42" s="102"/>
      <c r="F42" s="102"/>
      <c r="G42" s="102"/>
    </row>
    <row r="43" spans="1:7" ht="15.75" x14ac:dyDescent="0.25">
      <c r="A43" s="104" t="s">
        <v>262</v>
      </c>
      <c r="B43" s="23">
        <v>6632.0999999999995</v>
      </c>
      <c r="C43" s="98"/>
      <c r="D43" s="108"/>
      <c r="E43" s="77"/>
      <c r="F43" s="77"/>
      <c r="G43" s="77"/>
    </row>
    <row r="44" spans="1:7" ht="15.75" x14ac:dyDescent="0.25">
      <c r="A44" s="104" t="s">
        <v>263</v>
      </c>
      <c r="B44" s="23">
        <f>31738.4802622663+4671.91</f>
        <v>36410.390262266301</v>
      </c>
      <c r="C44" s="93"/>
      <c r="D44" s="108"/>
      <c r="E44" s="77"/>
      <c r="F44" s="77"/>
      <c r="G44" s="77"/>
    </row>
    <row r="45" spans="1:7" ht="16.5" thickBot="1" x14ac:dyDescent="0.3">
      <c r="A45" s="109" t="s">
        <v>264</v>
      </c>
      <c r="B45" s="23">
        <f>('[3]34тарифы'!D163*B15+88.84)*1.1194</f>
        <v>15551.375643111805</v>
      </c>
      <c r="C45" s="93"/>
      <c r="D45" s="108"/>
      <c r="E45" s="77"/>
      <c r="F45" s="77"/>
      <c r="G45" s="77"/>
    </row>
    <row r="46" spans="1:7" s="79" customFormat="1" ht="16.5" thickBot="1" x14ac:dyDescent="0.3">
      <c r="A46" s="101" t="s">
        <v>265</v>
      </c>
      <c r="B46" s="208">
        <f>SUM(B47:B65)</f>
        <v>83865.200000000012</v>
      </c>
      <c r="C46" s="89"/>
      <c r="D46" s="95"/>
    </row>
    <row r="47" spans="1:7" ht="15.75" x14ac:dyDescent="0.25">
      <c r="A47" s="104" t="s">
        <v>326</v>
      </c>
      <c r="B47" s="283">
        <v>2835.36</v>
      </c>
      <c r="C47" s="90"/>
      <c r="D47" s="92"/>
      <c r="E47" s="77" t="s">
        <v>267</v>
      </c>
      <c r="F47" s="77"/>
      <c r="G47" s="77"/>
    </row>
    <row r="48" spans="1:7" ht="15.75" x14ac:dyDescent="0.25">
      <c r="A48" s="104" t="s">
        <v>317</v>
      </c>
      <c r="B48" s="283">
        <v>3442.98</v>
      </c>
      <c r="C48" s="95"/>
      <c r="D48" s="92"/>
      <c r="E48" s="77" t="s">
        <v>269</v>
      </c>
      <c r="F48" s="77"/>
      <c r="G48" s="77"/>
    </row>
    <row r="49" spans="1:5" ht="15.75" x14ac:dyDescent="0.25">
      <c r="A49" s="110" t="s">
        <v>282</v>
      </c>
      <c r="B49" s="147">
        <v>39.43</v>
      </c>
      <c r="C49" s="95"/>
      <c r="D49" s="92"/>
      <c r="E49" s="77"/>
    </row>
    <row r="50" spans="1:5" ht="15.75" hidden="1" x14ac:dyDescent="0.25">
      <c r="A50" s="110" t="s">
        <v>271</v>
      </c>
      <c r="B50" s="147">
        <v>0</v>
      </c>
      <c r="C50" s="95"/>
      <c r="D50" s="92">
        <v>4190</v>
      </c>
      <c r="E50" s="77"/>
    </row>
    <row r="51" spans="1:5" ht="15.75" hidden="1" x14ac:dyDescent="0.25">
      <c r="A51" s="110" t="s">
        <v>350</v>
      </c>
      <c r="B51" s="147">
        <v>0</v>
      </c>
      <c r="C51" s="95"/>
      <c r="D51" s="92"/>
      <c r="E51" s="77"/>
    </row>
    <row r="52" spans="1:5" ht="15" customHeight="1" x14ac:dyDescent="0.25">
      <c r="A52" s="110" t="s">
        <v>542</v>
      </c>
      <c r="B52" s="147">
        <v>4200</v>
      </c>
      <c r="C52" s="95"/>
      <c r="D52" s="92">
        <v>105.14</v>
      </c>
      <c r="E52" s="77"/>
    </row>
    <row r="53" spans="1:5" ht="15.75" x14ac:dyDescent="0.25">
      <c r="A53" s="110" t="s">
        <v>359</v>
      </c>
      <c r="B53" s="23">
        <v>8133.62</v>
      </c>
      <c r="C53" s="95">
        <v>1</v>
      </c>
      <c r="D53" s="92">
        <v>522.99</v>
      </c>
      <c r="E53" s="77"/>
    </row>
    <row r="54" spans="1:5" ht="15.75" x14ac:dyDescent="0.25">
      <c r="A54" s="143" t="s">
        <v>501</v>
      </c>
      <c r="B54" s="283">
        <v>24000</v>
      </c>
      <c r="C54" s="95">
        <v>1</v>
      </c>
      <c r="D54" s="111">
        <v>657.53</v>
      </c>
      <c r="E54" s="77"/>
    </row>
    <row r="55" spans="1:5" ht="15.75" hidden="1" x14ac:dyDescent="0.25">
      <c r="A55" s="110" t="s">
        <v>276</v>
      </c>
      <c r="B55" s="147">
        <v>0</v>
      </c>
      <c r="C55" s="95"/>
      <c r="D55" s="111"/>
      <c r="E55" s="77"/>
    </row>
    <row r="56" spans="1:5" ht="15.75" hidden="1" x14ac:dyDescent="0.25">
      <c r="A56" s="110" t="s">
        <v>277</v>
      </c>
      <c r="B56" s="147">
        <v>0</v>
      </c>
      <c r="C56" s="95">
        <v>0</v>
      </c>
      <c r="D56" s="92">
        <f>10695.76/1.18</f>
        <v>9064.203389830509</v>
      </c>
      <c r="E56" s="77"/>
    </row>
    <row r="57" spans="1:5" ht="15.75" hidden="1" x14ac:dyDescent="0.25">
      <c r="A57" s="110" t="s">
        <v>274</v>
      </c>
      <c r="B57" s="147"/>
      <c r="C57" s="95">
        <v>0</v>
      </c>
      <c r="D57" s="92">
        <f>2300/1.18</f>
        <v>1949.1525423728815</v>
      </c>
      <c r="E57" s="77"/>
    </row>
    <row r="58" spans="1:5" ht="15.75" hidden="1" x14ac:dyDescent="0.25">
      <c r="A58" s="110" t="s">
        <v>348</v>
      </c>
      <c r="B58" s="147"/>
      <c r="C58" s="93">
        <v>0</v>
      </c>
      <c r="D58" s="92">
        <v>0</v>
      </c>
      <c r="E58" s="77"/>
    </row>
    <row r="59" spans="1:5" ht="16.5" hidden="1" thickBot="1" x14ac:dyDescent="0.3">
      <c r="A59" s="110" t="s">
        <v>279</v>
      </c>
      <c r="B59" s="23">
        <f>B13*'[3]34тарифы'!D184</f>
        <v>0</v>
      </c>
      <c r="C59" s="89"/>
      <c r="D59" s="95"/>
      <c r="E59" s="77"/>
    </row>
    <row r="60" spans="1:5" ht="15.75" x14ac:dyDescent="0.25">
      <c r="A60" s="104" t="s">
        <v>540</v>
      </c>
      <c r="B60" s="283">
        <v>21828.77</v>
      </c>
      <c r="C60" s="90"/>
      <c r="D60" s="92"/>
      <c r="E60" s="77"/>
    </row>
    <row r="61" spans="1:5" ht="15.75" hidden="1" x14ac:dyDescent="0.25">
      <c r="A61" s="104" t="s">
        <v>346</v>
      </c>
      <c r="B61" s="147"/>
      <c r="C61" s="95"/>
      <c r="D61" s="92">
        <v>0</v>
      </c>
      <c r="E61" s="77"/>
    </row>
    <row r="62" spans="1:5" ht="15.75" hidden="1" x14ac:dyDescent="0.25">
      <c r="A62" s="104" t="s">
        <v>347</v>
      </c>
      <c r="B62" s="23"/>
      <c r="C62" s="95"/>
      <c r="D62" s="92">
        <v>0</v>
      </c>
      <c r="E62" s="77"/>
    </row>
    <row r="63" spans="1:5" ht="16.5" thickBot="1" x14ac:dyDescent="0.3">
      <c r="A63" s="104" t="s">
        <v>341</v>
      </c>
      <c r="B63" s="229">
        <v>19385.04</v>
      </c>
      <c r="C63" s="113">
        <v>1</v>
      </c>
      <c r="D63" s="92">
        <v>0</v>
      </c>
      <c r="E63" s="77"/>
    </row>
    <row r="64" spans="1:5" ht="16.5" hidden="1" thickBot="1" x14ac:dyDescent="0.3">
      <c r="A64" s="104" t="s">
        <v>284</v>
      </c>
      <c r="B64" s="229">
        <v>0</v>
      </c>
      <c r="C64" s="114">
        <v>60</v>
      </c>
      <c r="D64" s="95">
        <v>2</v>
      </c>
      <c r="E64" s="77">
        <v>1</v>
      </c>
    </row>
    <row r="65" spans="1:4" s="79" customFormat="1" ht="16.5" hidden="1" thickBot="1" x14ac:dyDescent="0.3">
      <c r="A65" s="104" t="s">
        <v>285</v>
      </c>
      <c r="B65" s="293">
        <v>0</v>
      </c>
      <c r="C65" s="115"/>
      <c r="D65" s="108">
        <v>0</v>
      </c>
    </row>
    <row r="66" spans="1:4" s="79" customFormat="1" ht="16.5" thickBot="1" x14ac:dyDescent="0.3">
      <c r="A66" s="116" t="s">
        <v>286</v>
      </c>
      <c r="B66" s="208">
        <f>SUM(B67:B74)</f>
        <v>157395.20180241161</v>
      </c>
      <c r="C66" s="89"/>
      <c r="D66" s="93"/>
    </row>
    <row r="67" spans="1:4" ht="16.5" hidden="1" thickBot="1" x14ac:dyDescent="0.3">
      <c r="A67" s="104" t="s">
        <v>287</v>
      </c>
      <c r="B67" s="147">
        <v>0</v>
      </c>
      <c r="C67" s="98"/>
      <c r="D67" s="108"/>
    </row>
    <row r="68" spans="1:4" ht="16.5" thickBot="1" x14ac:dyDescent="0.3">
      <c r="A68" s="104" t="s">
        <v>288</v>
      </c>
      <c r="B68" s="23">
        <f>43442*1.04*1.1194</f>
        <v>50574.133792000001</v>
      </c>
      <c r="C68" s="89"/>
      <c r="D68" s="93"/>
    </row>
    <row r="69" spans="1:4" ht="15.75" hidden="1" x14ac:dyDescent="0.25">
      <c r="A69" s="104" t="s">
        <v>289</v>
      </c>
      <c r="B69" s="147">
        <v>0</v>
      </c>
      <c r="C69" s="98"/>
      <c r="D69" s="108"/>
    </row>
    <row r="70" spans="1:4" ht="16.5" thickBot="1" x14ac:dyDescent="0.3">
      <c r="A70" s="109" t="s">
        <v>290</v>
      </c>
      <c r="B70" s="23">
        <f>'[3]34тарифы'!D164*B13*1.1194</f>
        <v>3210.900361081789</v>
      </c>
      <c r="C70" s="93"/>
      <c r="D70" s="108"/>
    </row>
    <row r="71" spans="1:4" ht="15.75" x14ac:dyDescent="0.25">
      <c r="A71" s="109" t="s">
        <v>291</v>
      </c>
      <c r="B71" s="23">
        <f>VLOOKUP(A71,[2]Лист1!S$1:T$65536,2,FALSE)*B15</f>
        <v>12033.077397528739</v>
      </c>
      <c r="C71" s="117"/>
      <c r="D71" s="93"/>
    </row>
    <row r="72" spans="1:4" ht="15.75" x14ac:dyDescent="0.25">
      <c r="A72" s="109" t="s">
        <v>292</v>
      </c>
      <c r="B72" s="23">
        <f>VLOOKUP(A72,[2]Лист1!S$1:T$65536,2,FALSE)*B15</f>
        <v>42005.311995801101</v>
      </c>
      <c r="C72" s="108"/>
      <c r="D72" s="93"/>
    </row>
    <row r="73" spans="1:4" ht="15.75" x14ac:dyDescent="0.25">
      <c r="A73" s="41" t="s">
        <v>293</v>
      </c>
      <c r="B73" s="23">
        <f>4509*1.04*1.1194</f>
        <v>5249.2695840000006</v>
      </c>
      <c r="C73" s="108"/>
      <c r="D73" s="93"/>
    </row>
    <row r="74" spans="1:4" ht="15.75" x14ac:dyDescent="0.25">
      <c r="A74" s="109" t="s">
        <v>294</v>
      </c>
      <c r="B74" s="23">
        <f>38072*1.04*1.1194</f>
        <v>44322.508672000004</v>
      </c>
      <c r="C74" s="108"/>
      <c r="D74" s="93"/>
    </row>
    <row r="75" spans="1:4" ht="47.25" x14ac:dyDescent="0.25">
      <c r="A75" s="118" t="s">
        <v>328</v>
      </c>
      <c r="B75" s="208">
        <f>SUM(B76:B76)</f>
        <v>88497.936256489629</v>
      </c>
      <c r="C75" s="108"/>
      <c r="D75" s="93"/>
    </row>
    <row r="76" spans="1:4" ht="15.75" x14ac:dyDescent="0.25">
      <c r="A76" s="109" t="s">
        <v>296</v>
      </c>
      <c r="B76" s="23">
        <f>'[3]34ОЭР'!D158*1.1194</f>
        <v>88497.936256489629</v>
      </c>
      <c r="C76" s="108"/>
      <c r="D76" s="93"/>
    </row>
    <row r="77" spans="1:4" s="79" customFormat="1" ht="15.75" x14ac:dyDescent="0.25">
      <c r="A77" s="116" t="s">
        <v>297</v>
      </c>
      <c r="B77" s="208">
        <f>SUM(B78:B81)</f>
        <v>81450.469007598411</v>
      </c>
      <c r="C77" s="108"/>
      <c r="D77" s="93"/>
    </row>
    <row r="78" spans="1:4" ht="32.25" thickBot="1" x14ac:dyDescent="0.3">
      <c r="A78" s="119" t="s">
        <v>329</v>
      </c>
      <c r="B78" s="23">
        <f>'[3]34тарифы'!D170*B15*1.1194</f>
        <v>62757.986205763133</v>
      </c>
      <c r="C78" s="96"/>
      <c r="D78" s="93"/>
    </row>
    <row r="79" spans="1:4" ht="16.5" hidden="1" thickBot="1" x14ac:dyDescent="0.3">
      <c r="A79" s="51" t="s">
        <v>299</v>
      </c>
      <c r="B79" s="23">
        <f>(B26/1.2)*30%</f>
        <v>0</v>
      </c>
      <c r="C79" s="98"/>
      <c r="D79" s="108"/>
    </row>
    <row r="80" spans="1:4" ht="15.75" x14ac:dyDescent="0.25">
      <c r="A80" s="120" t="s">
        <v>330</v>
      </c>
      <c r="B80" s="23">
        <f>8279.81+4696.46</f>
        <v>12976.27</v>
      </c>
      <c r="C80" s="117"/>
      <c r="D80" s="93"/>
    </row>
    <row r="81" spans="1:4" ht="15.75" x14ac:dyDescent="0.25">
      <c r="A81" s="120" t="s">
        <v>331</v>
      </c>
      <c r="B81" s="23">
        <f>'[3]34тарифы'!D173*B13*1.1194</f>
        <v>5716.2128018352805</v>
      </c>
      <c r="C81" s="108"/>
      <c r="D81" s="93"/>
    </row>
    <row r="82" spans="1:4" ht="15.75" x14ac:dyDescent="0.25">
      <c r="A82" s="121" t="s">
        <v>302</v>
      </c>
      <c r="B82" s="28">
        <f>B32+B42+B46+B66+B75+B77</f>
        <v>626197.47270961129</v>
      </c>
      <c r="C82" s="108"/>
      <c r="D82" s="93"/>
    </row>
    <row r="83" spans="1:4" ht="15.75" x14ac:dyDescent="0.25">
      <c r="A83" s="122" t="s">
        <v>303</v>
      </c>
      <c r="B83" s="23">
        <f>B82*0.03</f>
        <v>18785.924181288337</v>
      </c>
      <c r="C83" s="108"/>
      <c r="D83" s="93"/>
    </row>
    <row r="84" spans="1:4" s="103" customFormat="1" ht="15.75" x14ac:dyDescent="0.25">
      <c r="A84" s="123" t="s">
        <v>304</v>
      </c>
      <c r="B84" s="208">
        <f>B82+B83</f>
        <v>644983.39689089963</v>
      </c>
      <c r="C84" s="108"/>
      <c r="D84" s="93"/>
    </row>
    <row r="85" spans="1:4" ht="16.5" thickBot="1" x14ac:dyDescent="0.3">
      <c r="A85" s="124" t="s">
        <v>305</v>
      </c>
      <c r="B85" s="240">
        <f>B84*0.2</f>
        <v>128996.67937817994</v>
      </c>
      <c r="C85" s="108"/>
      <c r="D85" s="93"/>
    </row>
    <row r="86" spans="1:4" s="79" customFormat="1" ht="16.5" thickBot="1" x14ac:dyDescent="0.3">
      <c r="A86" s="125" t="s">
        <v>306</v>
      </c>
      <c r="B86" s="66">
        <f>B84+B85</f>
        <v>773980.07626907958</v>
      </c>
      <c r="C86" s="89"/>
      <c r="D86" s="126"/>
    </row>
    <row r="87" spans="1:4" s="79" customFormat="1" ht="16.5" thickBot="1" x14ac:dyDescent="0.3">
      <c r="A87" s="127" t="s">
        <v>307</v>
      </c>
      <c r="B87" s="296">
        <f>B10+B24+B26+B28+B29-B86</f>
        <v>-1197913.5762690795</v>
      </c>
      <c r="C87" s="128"/>
      <c r="D87" s="129"/>
    </row>
    <row r="88" spans="1:4" s="79" customFormat="1" ht="16.5" thickBot="1" x14ac:dyDescent="0.3">
      <c r="A88" s="130" t="s">
        <v>308</v>
      </c>
      <c r="B88" s="66">
        <f>B10+B25+B27+B28+B29-B86</f>
        <v>-1216652.0862690797</v>
      </c>
      <c r="C88" s="131"/>
      <c r="D88" s="129"/>
    </row>
    <row r="89" spans="1:4" s="79" customFormat="1" ht="16.5" hidden="1" thickBot="1" x14ac:dyDescent="0.3">
      <c r="A89" s="132" t="s">
        <v>309</v>
      </c>
      <c r="B89" s="66">
        <f>B11+B24-B25</f>
        <v>18738.510000000009</v>
      </c>
      <c r="C89" s="129"/>
      <c r="D89" s="129"/>
    </row>
    <row r="90" spans="1:4" s="79" customFormat="1" ht="15.75" x14ac:dyDescent="0.25">
      <c r="A90" s="133"/>
      <c r="B90" s="242"/>
      <c r="C90" s="129"/>
      <c r="D90" s="129"/>
    </row>
    <row r="91" spans="1:4" ht="15.75" x14ac:dyDescent="0.25">
      <c r="A91" s="134"/>
      <c r="B91" s="3"/>
      <c r="C91" s="77"/>
      <c r="D91" s="77"/>
    </row>
    <row r="92" spans="1:4" ht="15.75" x14ac:dyDescent="0.25">
      <c r="A92" s="323" t="s">
        <v>332</v>
      </c>
      <c r="B92" s="309"/>
      <c r="C92" s="77"/>
      <c r="D92" s="77"/>
    </row>
    <row r="93" spans="1:4" ht="15.75" x14ac:dyDescent="0.25">
      <c r="A93" s="134"/>
      <c r="B93" s="3"/>
      <c r="C93" s="77"/>
      <c r="D93" s="77"/>
    </row>
    <row r="94" spans="1:4" ht="15.75" hidden="1" x14ac:dyDescent="0.25">
      <c r="A94" s="324" t="s">
        <v>333</v>
      </c>
      <c r="B94" s="324"/>
      <c r="C94" s="135"/>
      <c r="D94" s="77"/>
    </row>
    <row r="95" spans="1:4" ht="15.75" x14ac:dyDescent="0.25">
      <c r="A95" s="77"/>
      <c r="B95" s="3"/>
      <c r="C95" s="77"/>
      <c r="D95" s="77"/>
    </row>
  </sheetData>
  <autoFilter ref="A31:G89" xr:uid="{00000000-0009-0000-0000-000029000000}">
    <filterColumn colId="1">
      <filters>
        <filter val="11 509,89"/>
        <filter val="118 534,55"/>
        <filter val="12 033,08"/>
        <filter val="126 577,30"/>
        <filter val="14 391,64"/>
        <filter val="15 551,38"/>
        <filter val="156 394,80"/>
        <filter val="157 395,20"/>
        <filter val="18 433,59"/>
        <filter val="18 738,51"/>
        <filter val="2 835,36"/>
        <filter val="202,00"/>
        <filter val="22 676,63"/>
        <filter val="24 000,00"/>
        <filter val="3 210,90"/>
        <filter val="3 442,98"/>
        <filter val="33 134,77"/>
        <filter val="36 410,39"/>
        <filter val="4 725,48"/>
        <filter val="42 005,31"/>
        <filter val="44 322,51"/>
        <filter val="5 249,27"/>
        <filter val="5 716,21"/>
        <filter val="50 574,13"/>
        <filter val="58 593,87"/>
        <filter val="6 038,40"/>
        <filter val="6 632,10"/>
        <filter val="614 452,90"/>
        <filter val="62 757,99"/>
        <filter val="632 886,49"/>
        <filter val="70 705,26"/>
        <filter val="759 463,79"/>
        <filter val="82 865,84"/>
        <filter val="88 497,94"/>
        <filter val="-889 764,02"/>
        <filter val="-908 502,53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80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filterMode="1">
    <pageSetUpPr fitToPage="1"/>
  </sheetPr>
  <dimension ref="A1:G95"/>
  <sheetViews>
    <sheetView view="pageBreakPreview" topLeftCell="A42" zoomScale="80" zoomScaleNormal="100" zoomScaleSheetLayoutView="80" workbookViewId="0">
      <selection activeCell="B81" sqref="B81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25" t="s">
        <v>224</v>
      </c>
      <c r="B1" s="325"/>
      <c r="C1" s="77"/>
      <c r="D1" s="77"/>
    </row>
    <row r="2" spans="1:4" ht="16.5" x14ac:dyDescent="0.25">
      <c r="A2" s="326" t="s">
        <v>500</v>
      </c>
      <c r="B2" s="326"/>
      <c r="C2" s="77"/>
      <c r="D2" s="77"/>
    </row>
    <row r="3" spans="1:4" ht="16.5" x14ac:dyDescent="0.25">
      <c r="A3" s="326" t="s">
        <v>226</v>
      </c>
      <c r="B3" s="326"/>
      <c r="C3" s="77"/>
      <c r="D3" s="77"/>
    </row>
    <row r="4" spans="1:4" ht="15.75" x14ac:dyDescent="0.25">
      <c r="A4" s="78" t="s">
        <v>516</v>
      </c>
      <c r="B4" s="78"/>
      <c r="C4" s="77"/>
      <c r="D4" s="77"/>
    </row>
    <row r="5" spans="1:4" ht="15.75" x14ac:dyDescent="0.25">
      <c r="A5" s="78" t="s">
        <v>135</v>
      </c>
      <c r="B5" s="78"/>
      <c r="C5" s="77"/>
      <c r="D5" s="77"/>
    </row>
    <row r="6" spans="1:4" ht="5.25" customHeight="1" x14ac:dyDescent="0.25">
      <c r="A6" s="78"/>
      <c r="B6" s="8"/>
      <c r="C6" s="79"/>
      <c r="D6" s="77"/>
    </row>
    <row r="7" spans="1:4" ht="16.5" thickBot="1" x14ac:dyDescent="0.3">
      <c r="A7" s="80"/>
      <c r="B7" s="8"/>
      <c r="C7" s="79"/>
      <c r="D7" s="77"/>
    </row>
    <row r="8" spans="1:4" ht="15.75" customHeight="1" x14ac:dyDescent="0.2">
      <c r="A8" s="327" t="s">
        <v>227</v>
      </c>
      <c r="B8" s="329" t="s">
        <v>228</v>
      </c>
      <c r="C8" s="331" t="s">
        <v>229</v>
      </c>
      <c r="D8" s="321" t="s">
        <v>230</v>
      </c>
    </row>
    <row r="9" spans="1:4" ht="28.5" customHeight="1" thickBot="1" x14ac:dyDescent="0.25">
      <c r="A9" s="328"/>
      <c r="B9" s="330"/>
      <c r="C9" s="332"/>
      <c r="D9" s="322"/>
    </row>
    <row r="10" spans="1:4" ht="16.5" thickBot="1" x14ac:dyDescent="0.25">
      <c r="A10" s="81" t="s">
        <v>231</v>
      </c>
      <c r="B10" s="302">
        <f>VLOOKUP(A5,мкд!S:T,2,FALSE)</f>
        <v>-439006.6</v>
      </c>
      <c r="C10" s="83"/>
      <c r="D10" s="84"/>
    </row>
    <row r="11" spans="1:4" ht="16.5" hidden="1" thickBot="1" x14ac:dyDescent="0.25">
      <c r="A11" s="85" t="s">
        <v>232</v>
      </c>
      <c r="B11" s="210"/>
      <c r="C11" s="84"/>
      <c r="D11" s="86"/>
    </row>
    <row r="12" spans="1:4" ht="16.5" thickBot="1" x14ac:dyDescent="0.3">
      <c r="A12" s="87" t="s">
        <v>233</v>
      </c>
      <c r="B12" s="217"/>
      <c r="C12" s="89" t="s">
        <v>234</v>
      </c>
      <c r="D12" s="90" t="s">
        <v>234</v>
      </c>
    </row>
    <row r="13" spans="1:4" ht="16.5" hidden="1" thickBot="1" x14ac:dyDescent="0.3">
      <c r="A13" s="91" t="s">
        <v>235</v>
      </c>
      <c r="B13" s="23">
        <v>1444.5</v>
      </c>
      <c r="C13" s="90" t="s">
        <v>234</v>
      </c>
      <c r="D13" s="92" t="s">
        <v>234</v>
      </c>
    </row>
    <row r="14" spans="1:4" ht="16.5" hidden="1" thickBot="1" x14ac:dyDescent="0.3">
      <c r="A14" s="91" t="s">
        <v>236</v>
      </c>
      <c r="B14" s="23">
        <v>134.6</v>
      </c>
      <c r="C14" s="93"/>
      <c r="D14" s="92"/>
    </row>
    <row r="15" spans="1:4" ht="16.5" hidden="1" thickBot="1" x14ac:dyDescent="0.3">
      <c r="A15" s="91" t="s">
        <v>237</v>
      </c>
      <c r="B15" s="23">
        <f>B13+B14</f>
        <v>1579.1</v>
      </c>
      <c r="C15" s="94"/>
      <c r="D15" s="95"/>
    </row>
    <row r="16" spans="1:4" ht="16.5" hidden="1" thickBot="1" x14ac:dyDescent="0.3">
      <c r="A16" s="91" t="s">
        <v>238</v>
      </c>
      <c r="B16" s="23">
        <f>1137.1+858/3</f>
        <v>1423.1</v>
      </c>
      <c r="C16" s="96" t="s">
        <v>234</v>
      </c>
      <c r="D16" s="95" t="s">
        <v>234</v>
      </c>
    </row>
    <row r="17" spans="1:7" ht="16.5" hidden="1" thickBot="1" x14ac:dyDescent="0.3">
      <c r="A17" s="91" t="s">
        <v>239</v>
      </c>
      <c r="B17" s="23">
        <v>0</v>
      </c>
      <c r="C17" s="90" t="s">
        <v>234</v>
      </c>
      <c r="D17" s="92" t="s">
        <v>234</v>
      </c>
      <c r="E17" s="77"/>
      <c r="F17" s="77"/>
      <c r="G17" s="77"/>
    </row>
    <row r="18" spans="1:7" ht="16.5" hidden="1" thickBot="1" x14ac:dyDescent="0.3">
      <c r="A18" s="91" t="s">
        <v>240</v>
      </c>
      <c r="B18" s="23">
        <v>679.3</v>
      </c>
      <c r="C18" s="95" t="s">
        <v>234</v>
      </c>
      <c r="D18" s="92" t="s">
        <v>234</v>
      </c>
      <c r="E18" s="77"/>
      <c r="F18" s="77"/>
      <c r="G18" s="77"/>
    </row>
    <row r="19" spans="1:7" ht="16.5" hidden="1" thickBot="1" x14ac:dyDescent="0.3">
      <c r="A19" s="91" t="s">
        <v>241</v>
      </c>
      <c r="B19" s="23">
        <v>0</v>
      </c>
      <c r="C19" s="95" t="s">
        <v>234</v>
      </c>
      <c r="D19" s="92" t="s">
        <v>234</v>
      </c>
      <c r="E19" s="77"/>
      <c r="F19" s="77"/>
      <c r="G19" s="77"/>
    </row>
    <row r="20" spans="1:7" ht="16.5" hidden="1" thickBot="1" x14ac:dyDescent="0.3">
      <c r="A20" s="91" t="s">
        <v>242</v>
      </c>
      <c r="B20" s="23">
        <v>883</v>
      </c>
      <c r="C20" s="95"/>
      <c r="D20" s="92"/>
      <c r="E20" s="77"/>
      <c r="F20" s="77"/>
      <c r="G20" s="77"/>
    </row>
    <row r="21" spans="1:7" ht="16.5" hidden="1" thickBot="1" x14ac:dyDescent="0.3">
      <c r="A21" s="91" t="s">
        <v>243</v>
      </c>
      <c r="B21" s="23">
        <v>0</v>
      </c>
      <c r="C21" s="95" t="s">
        <v>234</v>
      </c>
      <c r="D21" s="92" t="s">
        <v>234</v>
      </c>
      <c r="E21" s="77"/>
      <c r="F21" s="77"/>
      <c r="G21" s="77"/>
    </row>
    <row r="22" spans="1:7" ht="16.5" hidden="1" thickBot="1" x14ac:dyDescent="0.3">
      <c r="A22" s="91" t="s">
        <v>244</v>
      </c>
      <c r="B22" s="23">
        <v>63</v>
      </c>
      <c r="C22" s="93"/>
      <c r="D22" s="92"/>
      <c r="E22" s="77"/>
      <c r="F22" s="77"/>
      <c r="G22" s="77"/>
    </row>
    <row r="23" spans="1:7" ht="15.75" x14ac:dyDescent="0.25">
      <c r="A23" s="91"/>
      <c r="B23" s="23"/>
      <c r="C23" s="94"/>
      <c r="D23" s="95"/>
      <c r="E23" s="77">
        <v>10</v>
      </c>
      <c r="F23" s="77">
        <v>2</v>
      </c>
      <c r="G23" s="77"/>
    </row>
    <row r="24" spans="1:7" ht="15.75" x14ac:dyDescent="0.25">
      <c r="A24" s="97" t="s">
        <v>319</v>
      </c>
      <c r="B24" s="28">
        <f>VLOOKUP(A5,[2]Лист1!M$1:N$65536,2,FALSE)</f>
        <v>298914.37999999995</v>
      </c>
      <c r="C24" s="92"/>
      <c r="D24" s="95"/>
      <c r="E24" s="26">
        <v>16.96</v>
      </c>
      <c r="F24" s="256">
        <v>18.985023999999999</v>
      </c>
      <c r="G24" s="77"/>
    </row>
    <row r="25" spans="1:7" ht="16.5" thickBot="1" x14ac:dyDescent="0.3">
      <c r="A25" s="97" t="s">
        <v>320</v>
      </c>
      <c r="B25" s="28">
        <f>VLOOKUP(A5,[2]Лист1!M$1:O$65536,3,FALSE)</f>
        <v>295780.15999999997</v>
      </c>
      <c r="C25" s="96"/>
      <c r="D25" s="95"/>
      <c r="E25" s="77"/>
      <c r="F25" s="77"/>
      <c r="G25" s="77"/>
    </row>
    <row r="26" spans="1:7" ht="15.75" x14ac:dyDescent="0.25">
      <c r="A26" s="97" t="s">
        <v>353</v>
      </c>
      <c r="B26" s="28">
        <v>27940.27</v>
      </c>
      <c r="C26" s="90"/>
      <c r="D26" s="92"/>
      <c r="E26" s="77"/>
      <c r="F26" s="77"/>
      <c r="G26" s="77"/>
    </row>
    <row r="27" spans="1:7" ht="16.5" thickBot="1" x14ac:dyDescent="0.3">
      <c r="A27" s="97" t="s">
        <v>354</v>
      </c>
      <c r="B27" s="28">
        <v>40429.24</v>
      </c>
      <c r="C27" s="93"/>
      <c r="D27" s="92"/>
      <c r="E27" s="77"/>
      <c r="F27" s="77"/>
      <c r="G27" s="77"/>
    </row>
    <row r="28" spans="1:7" ht="16.5" thickBot="1" x14ac:dyDescent="0.3">
      <c r="A28" s="97" t="s">
        <v>249</v>
      </c>
      <c r="B28" s="28">
        <v>7459.44</v>
      </c>
      <c r="C28" s="89"/>
      <c r="D28" s="95"/>
      <c r="E28" s="77"/>
      <c r="F28" s="77"/>
      <c r="G28" s="77"/>
    </row>
    <row r="29" spans="1:7" ht="16.5" hidden="1" thickBot="1" x14ac:dyDescent="0.3">
      <c r="A29" s="97" t="s">
        <v>250</v>
      </c>
      <c r="B29" s="28"/>
      <c r="C29" s="98"/>
      <c r="D29" s="92"/>
      <c r="E29" s="77"/>
      <c r="F29" s="77"/>
      <c r="G29" s="77"/>
    </row>
    <row r="30" spans="1:7" ht="15.75" x14ac:dyDescent="0.25">
      <c r="A30" s="99"/>
      <c r="B30" s="23"/>
      <c r="C30" s="94"/>
      <c r="D30" s="95"/>
      <c r="E30" s="77"/>
      <c r="F30" s="77"/>
      <c r="G30" s="77"/>
    </row>
    <row r="31" spans="1:7" ht="15.75" x14ac:dyDescent="0.25">
      <c r="A31" s="100" t="s">
        <v>251</v>
      </c>
      <c r="B31" s="23"/>
      <c r="C31" s="92"/>
      <c r="D31" s="95"/>
      <c r="E31" s="77"/>
      <c r="F31" s="77"/>
      <c r="G31" s="77"/>
    </row>
    <row r="32" spans="1:7" s="103" customFormat="1" ht="31.5" x14ac:dyDescent="0.25">
      <c r="A32" s="101" t="s">
        <v>252</v>
      </c>
      <c r="B32" s="208">
        <f>SUM(B33:B41)</f>
        <v>30000.691485392119</v>
      </c>
      <c r="C32" s="92"/>
      <c r="D32" s="95"/>
      <c r="E32" s="102">
        <f>(B86-B26-B24)/1.2/1.03</f>
        <v>89886.635323259005</v>
      </c>
      <c r="F32" s="102" t="e">
        <f>(#REF!-#REF!-#REF!)/1.2/1.03</f>
        <v>#REF!</v>
      </c>
      <c r="G32" s="102" t="e">
        <f>(#REF!-#REF!-#REF!)/1.2/1.03</f>
        <v>#REF!</v>
      </c>
    </row>
    <row r="33" spans="1:7" ht="16.5" thickBot="1" x14ac:dyDescent="0.3">
      <c r="A33" s="104" t="s">
        <v>253</v>
      </c>
      <c r="B33" s="23">
        <f>8467.87*1.1194</f>
        <v>9478.9336780000012</v>
      </c>
      <c r="C33" s="96"/>
      <c r="D33" s="95">
        <v>11531.54</v>
      </c>
      <c r="E33" s="77">
        <v>5129.41</v>
      </c>
      <c r="F33" s="77"/>
      <c r="G33" s="77"/>
    </row>
    <row r="34" spans="1:7" ht="15.75" hidden="1" x14ac:dyDescent="0.25">
      <c r="A34" s="104" t="s">
        <v>322</v>
      </c>
      <c r="B34" s="23"/>
      <c r="C34" s="90"/>
      <c r="D34" s="92">
        <v>0</v>
      </c>
      <c r="E34" s="77"/>
      <c r="F34" s="77"/>
      <c r="G34" s="77"/>
    </row>
    <row r="35" spans="1:7" ht="15.75" x14ac:dyDescent="0.25">
      <c r="A35" s="104" t="s">
        <v>256</v>
      </c>
      <c r="B35" s="23">
        <v>6160.8400000000074</v>
      </c>
      <c r="C35" s="95"/>
      <c r="D35" s="92">
        <v>0</v>
      </c>
      <c r="E35" s="77"/>
      <c r="F35" s="77"/>
      <c r="G35" s="77"/>
    </row>
    <row r="36" spans="1:7" ht="15.75" x14ac:dyDescent="0.25">
      <c r="A36" s="104" t="s">
        <v>255</v>
      </c>
      <c r="B36" s="23">
        <v>9354.1278073921094</v>
      </c>
      <c r="C36" s="95" t="s">
        <v>234</v>
      </c>
      <c r="D36" s="92">
        <v>0</v>
      </c>
      <c r="E36" s="77"/>
      <c r="F36" s="77"/>
      <c r="G36" s="77"/>
    </row>
    <row r="37" spans="1:7" ht="16.5" thickBot="1" x14ac:dyDescent="0.3">
      <c r="A37" s="104" t="s">
        <v>257</v>
      </c>
      <c r="B37" s="23">
        <v>5006.79</v>
      </c>
      <c r="C37" s="95"/>
      <c r="D37" s="92">
        <v>0</v>
      </c>
      <c r="E37" s="77"/>
      <c r="F37" s="77"/>
      <c r="G37" s="77"/>
    </row>
    <row r="38" spans="1:7" ht="16.5" hidden="1" thickBot="1" x14ac:dyDescent="0.3">
      <c r="A38" s="104" t="s">
        <v>342</v>
      </c>
      <c r="B38" s="23"/>
      <c r="C38" s="95"/>
      <c r="D38" s="92">
        <v>0</v>
      </c>
      <c r="E38" s="77"/>
      <c r="F38" s="77"/>
      <c r="G38" s="77"/>
    </row>
    <row r="39" spans="1:7" ht="16.5" hidden="1" thickBot="1" x14ac:dyDescent="0.3">
      <c r="A39" s="104" t="s">
        <v>324</v>
      </c>
      <c r="B39" s="23"/>
      <c r="C39" s="95"/>
      <c r="D39" s="92">
        <v>0</v>
      </c>
      <c r="E39" s="77"/>
      <c r="F39" s="77"/>
      <c r="G39" s="77"/>
    </row>
    <row r="40" spans="1:7" ht="16.5" hidden="1" thickBot="1" x14ac:dyDescent="0.3">
      <c r="A40" s="104" t="s">
        <v>312</v>
      </c>
      <c r="B40" s="23"/>
      <c r="C40" s="95"/>
      <c r="D40" s="92"/>
      <c r="E40" s="77"/>
      <c r="F40" s="77"/>
      <c r="G40" s="77"/>
    </row>
    <row r="41" spans="1:7" ht="16.5" hidden="1" thickBot="1" x14ac:dyDescent="0.3">
      <c r="A41" s="104" t="s">
        <v>343</v>
      </c>
      <c r="B41" s="23"/>
      <c r="C41" s="93"/>
      <c r="D41" s="92"/>
      <c r="E41" s="77"/>
      <c r="F41" s="77"/>
      <c r="G41" s="77"/>
    </row>
    <row r="42" spans="1:7" s="103" customFormat="1" ht="48" thickBot="1" x14ac:dyDescent="0.3">
      <c r="A42" s="101" t="s">
        <v>325</v>
      </c>
      <c r="B42" s="208">
        <f>SUM(B43:B45)</f>
        <v>68176.256076500809</v>
      </c>
      <c r="C42" s="89"/>
      <c r="D42" s="95"/>
      <c r="E42" s="102"/>
      <c r="F42" s="102"/>
      <c r="G42" s="102"/>
    </row>
    <row r="43" spans="1:7" ht="15.75" x14ac:dyDescent="0.25">
      <c r="A43" s="104" t="s">
        <v>262</v>
      </c>
      <c r="B43" s="23">
        <v>9194.619999999999</v>
      </c>
      <c r="C43" s="98"/>
      <c r="D43" s="108"/>
      <c r="E43" s="77"/>
      <c r="F43" s="77"/>
      <c r="G43" s="77"/>
    </row>
    <row r="44" spans="1:7" ht="15.75" x14ac:dyDescent="0.25">
      <c r="A44" s="104" t="s">
        <v>263</v>
      </c>
      <c r="B44" s="23">
        <v>49444.762192607865</v>
      </c>
      <c r="C44" s="93"/>
      <c r="D44" s="108"/>
      <c r="E44" s="77"/>
      <c r="F44" s="77"/>
      <c r="G44" s="77"/>
    </row>
    <row r="45" spans="1:7" ht="16.5" thickBot="1" x14ac:dyDescent="0.3">
      <c r="A45" s="109" t="s">
        <v>264</v>
      </c>
      <c r="B45" s="23">
        <f>('[3]34тарифы'!D163*B15+141.77)*1.1194</f>
        <v>9536.8738838929385</v>
      </c>
      <c r="C45" s="93"/>
      <c r="D45" s="108"/>
      <c r="E45" s="77"/>
      <c r="F45" s="77"/>
      <c r="G45" s="77"/>
    </row>
    <row r="46" spans="1:7" s="79" customFormat="1" ht="16.5" thickBot="1" x14ac:dyDescent="0.3">
      <c r="A46" s="101" t="s">
        <v>265</v>
      </c>
      <c r="B46" s="208">
        <f>SUM(B47:B65)</f>
        <v>30081.21</v>
      </c>
      <c r="C46" s="89"/>
      <c r="D46" s="95"/>
    </row>
    <row r="47" spans="1:7" ht="15.75" x14ac:dyDescent="0.25">
      <c r="A47" s="104" t="s">
        <v>326</v>
      </c>
      <c r="B47" s="283">
        <v>2853</v>
      </c>
      <c r="C47" s="90"/>
      <c r="D47" s="92"/>
      <c r="E47" s="77" t="s">
        <v>267</v>
      </c>
      <c r="F47" s="77"/>
      <c r="G47" s="77"/>
    </row>
    <row r="48" spans="1:7" ht="15.75" x14ac:dyDescent="0.25">
      <c r="A48" s="104" t="s">
        <v>317</v>
      </c>
      <c r="B48" s="283">
        <v>3464.4</v>
      </c>
      <c r="C48" s="95"/>
      <c r="D48" s="92"/>
      <c r="E48" s="77" t="s">
        <v>269</v>
      </c>
      <c r="F48" s="77"/>
      <c r="G48" s="77"/>
    </row>
    <row r="49" spans="1:5" ht="15.75" x14ac:dyDescent="0.25">
      <c r="A49" s="110" t="s">
        <v>316</v>
      </c>
      <c r="B49" s="283">
        <v>0</v>
      </c>
      <c r="C49" s="95"/>
      <c r="D49" s="92"/>
      <c r="E49" s="77"/>
    </row>
    <row r="50" spans="1:5" ht="15.75" x14ac:dyDescent="0.25">
      <c r="A50" s="110" t="s">
        <v>540</v>
      </c>
      <c r="B50" s="283">
        <v>10763.26</v>
      </c>
      <c r="C50" s="95"/>
      <c r="D50" s="92">
        <v>4190</v>
      </c>
      <c r="E50" s="77"/>
    </row>
    <row r="51" spans="1:5" ht="15.75" x14ac:dyDescent="0.25">
      <c r="A51" s="110" t="s">
        <v>362</v>
      </c>
      <c r="B51" s="23">
        <v>72.58</v>
      </c>
      <c r="C51" s="95"/>
      <c r="D51" s="92"/>
      <c r="E51" s="77"/>
    </row>
    <row r="52" spans="1:5" ht="15.75" hidden="1" x14ac:dyDescent="0.25">
      <c r="A52" s="110" t="s">
        <v>273</v>
      </c>
      <c r="B52" s="23">
        <f>B21*'[3]34тарифы'!D177</f>
        <v>0</v>
      </c>
      <c r="C52" s="95"/>
      <c r="D52" s="92">
        <v>105.14</v>
      </c>
      <c r="E52" s="77"/>
    </row>
    <row r="53" spans="1:5" ht="15.75" hidden="1" x14ac:dyDescent="0.25">
      <c r="A53" s="110" t="s">
        <v>274</v>
      </c>
      <c r="B53" s="23">
        <v>0</v>
      </c>
      <c r="C53" s="95">
        <v>0</v>
      </c>
      <c r="D53" s="92">
        <v>522.99</v>
      </c>
      <c r="E53" s="77"/>
    </row>
    <row r="54" spans="1:5" ht="15.75" hidden="1" x14ac:dyDescent="0.25">
      <c r="A54" s="110" t="s">
        <v>275</v>
      </c>
      <c r="B54" s="23">
        <v>0</v>
      </c>
      <c r="C54" s="95">
        <v>0</v>
      </c>
      <c r="D54" s="111">
        <v>695.13</v>
      </c>
      <c r="E54" s="77"/>
    </row>
    <row r="55" spans="1:5" ht="15.75" hidden="1" x14ac:dyDescent="0.25">
      <c r="A55" s="110" t="s">
        <v>276</v>
      </c>
      <c r="B55" s="23">
        <v>0</v>
      </c>
      <c r="C55" s="95"/>
      <c r="D55" s="111"/>
      <c r="E55" s="77"/>
    </row>
    <row r="56" spans="1:5" ht="15.75" hidden="1" x14ac:dyDescent="0.25">
      <c r="A56" s="110" t="s">
        <v>277</v>
      </c>
      <c r="B56" s="23">
        <v>0</v>
      </c>
      <c r="C56" s="95">
        <v>0</v>
      </c>
      <c r="D56" s="92">
        <f>10695.76/1.18</f>
        <v>9064.203389830509</v>
      </c>
      <c r="E56" s="77"/>
    </row>
    <row r="57" spans="1:5" ht="15.75" hidden="1" x14ac:dyDescent="0.25">
      <c r="A57" s="110" t="s">
        <v>314</v>
      </c>
      <c r="B57" s="23">
        <v>0</v>
      </c>
      <c r="C57" s="95">
        <v>0</v>
      </c>
      <c r="D57" s="92">
        <f>2300/1.18</f>
        <v>1949.1525423728815</v>
      </c>
      <c r="E57" s="77"/>
    </row>
    <row r="58" spans="1:5" ht="15.75" hidden="1" x14ac:dyDescent="0.25">
      <c r="A58" s="110" t="s">
        <v>315</v>
      </c>
      <c r="B58" s="23">
        <v>0</v>
      </c>
      <c r="C58" s="93">
        <v>0</v>
      </c>
      <c r="D58" s="92">
        <v>0</v>
      </c>
      <c r="E58" s="77"/>
    </row>
    <row r="59" spans="1:5" ht="16.5" hidden="1" thickBot="1" x14ac:dyDescent="0.3">
      <c r="A59" s="110" t="s">
        <v>279</v>
      </c>
      <c r="B59" s="23">
        <f>B13*'[3]34тарифы'!D184</f>
        <v>0</v>
      </c>
      <c r="C59" s="89"/>
      <c r="D59" s="95"/>
      <c r="E59" s="77"/>
    </row>
    <row r="60" spans="1:5" ht="15.75" hidden="1" x14ac:dyDescent="0.25">
      <c r="A60" s="104" t="s">
        <v>280</v>
      </c>
      <c r="B60" s="23">
        <v>0</v>
      </c>
      <c r="C60" s="90"/>
      <c r="D60" s="92"/>
      <c r="E60" s="77"/>
    </row>
    <row r="61" spans="1:5" ht="15.75" hidden="1" x14ac:dyDescent="0.25">
      <c r="A61" s="104" t="s">
        <v>281</v>
      </c>
      <c r="B61" s="23">
        <v>0</v>
      </c>
      <c r="C61" s="95"/>
      <c r="D61" s="92">
        <v>0</v>
      </c>
      <c r="E61" s="77"/>
    </row>
    <row r="62" spans="1:5" ht="15.75" hidden="1" x14ac:dyDescent="0.25">
      <c r="A62" s="104" t="s">
        <v>340</v>
      </c>
      <c r="B62" s="23">
        <v>0</v>
      </c>
      <c r="C62" s="95"/>
      <c r="D62" s="92">
        <v>0</v>
      </c>
      <c r="E62" s="77"/>
    </row>
    <row r="63" spans="1:5" ht="16.5" thickBot="1" x14ac:dyDescent="0.3">
      <c r="A63" s="104" t="s">
        <v>341</v>
      </c>
      <c r="B63" s="229">
        <v>12927.97</v>
      </c>
      <c r="C63" s="113">
        <v>1</v>
      </c>
      <c r="D63" s="92">
        <v>0</v>
      </c>
      <c r="E63" s="77"/>
    </row>
    <row r="64" spans="1:5" ht="16.5" hidden="1" thickBot="1" x14ac:dyDescent="0.3">
      <c r="A64" s="104" t="s">
        <v>284</v>
      </c>
      <c r="B64" s="229">
        <v>0</v>
      </c>
      <c r="C64" s="114">
        <v>34</v>
      </c>
      <c r="D64" s="95">
        <v>2</v>
      </c>
      <c r="E64" s="77">
        <v>1</v>
      </c>
    </row>
    <row r="65" spans="1:4" s="79" customFormat="1" ht="16.5" hidden="1" thickBot="1" x14ac:dyDescent="0.3">
      <c r="A65" s="104" t="s">
        <v>285</v>
      </c>
      <c r="B65" s="229">
        <v>0</v>
      </c>
      <c r="C65" s="115">
        <v>36</v>
      </c>
      <c r="D65" s="108">
        <f>650/1.18</f>
        <v>550.84745762711873</v>
      </c>
    </row>
    <row r="66" spans="1:4" s="79" customFormat="1" ht="16.5" thickBot="1" x14ac:dyDescent="0.3">
      <c r="A66" s="116" t="s">
        <v>286</v>
      </c>
      <c r="B66" s="208">
        <f>SUM(B67:B74)</f>
        <v>121524.26065768106</v>
      </c>
      <c r="C66" s="89"/>
      <c r="D66" s="93"/>
    </row>
    <row r="67" spans="1:4" ht="16.5" hidden="1" thickBot="1" x14ac:dyDescent="0.3">
      <c r="A67" s="104" t="s">
        <v>287</v>
      </c>
      <c r="B67" s="23">
        <v>0</v>
      </c>
      <c r="C67" s="98"/>
      <c r="D67" s="108"/>
    </row>
    <row r="68" spans="1:4" ht="16.5" thickBot="1" x14ac:dyDescent="0.3">
      <c r="A68" s="104" t="s">
        <v>288</v>
      </c>
      <c r="B68" s="23">
        <f>50793.72*1.1194</f>
        <v>56858.490167999997</v>
      </c>
      <c r="C68" s="89"/>
      <c r="D68" s="93"/>
    </row>
    <row r="69" spans="1:4" ht="15.75" hidden="1" x14ac:dyDescent="0.25">
      <c r="A69" s="104" t="s">
        <v>289</v>
      </c>
      <c r="B69" s="23">
        <v>0</v>
      </c>
      <c r="C69" s="98"/>
      <c r="D69" s="108"/>
    </row>
    <row r="70" spans="1:4" ht="16.5" thickBot="1" x14ac:dyDescent="0.3">
      <c r="A70" s="109" t="s">
        <v>290</v>
      </c>
      <c r="B70" s="23">
        <f>'[3]34тарифы'!D164*B13*1.1194</f>
        <v>1782.6679881553707</v>
      </c>
      <c r="C70" s="93"/>
      <c r="D70" s="108"/>
    </row>
    <row r="71" spans="1:4" ht="15.75" x14ac:dyDescent="0.25">
      <c r="A71" s="109" t="s">
        <v>291</v>
      </c>
      <c r="B71" s="23">
        <f>VLOOKUP(A71,[2]Лист1!S$1:T$65536,2,FALSE)*B15</f>
        <v>7303.1872236288837</v>
      </c>
      <c r="C71" s="117"/>
      <c r="D71" s="93"/>
    </row>
    <row r="72" spans="1:4" ht="15.75" x14ac:dyDescent="0.25">
      <c r="A72" s="109" t="s">
        <v>292</v>
      </c>
      <c r="B72" s="23">
        <f>VLOOKUP(A72,[2]Лист1!S$1:T$65536,2,FALSE)*B15</f>
        <v>25494.114909896805</v>
      </c>
      <c r="C72" s="108"/>
      <c r="D72" s="93"/>
    </row>
    <row r="73" spans="1:4" ht="15.75" x14ac:dyDescent="0.25">
      <c r="A73" s="41" t="s">
        <v>293</v>
      </c>
      <c r="B73" s="23">
        <f>2736*1.04*1.1194</f>
        <v>3185.185536</v>
      </c>
      <c r="C73" s="108"/>
      <c r="D73" s="93"/>
    </row>
    <row r="74" spans="1:4" ht="15.75" x14ac:dyDescent="0.25">
      <c r="A74" s="109" t="s">
        <v>294</v>
      </c>
      <c r="B74" s="23">
        <f>23107*1.04*1.1194</f>
        <v>26900.614832000003</v>
      </c>
      <c r="C74" s="108"/>
      <c r="D74" s="93"/>
    </row>
    <row r="75" spans="1:4" ht="47.25" x14ac:dyDescent="0.25">
      <c r="A75" s="118" t="s">
        <v>328</v>
      </c>
      <c r="B75" s="208">
        <f>SUM(B76:B76)</f>
        <v>50123.958574559998</v>
      </c>
      <c r="C75" s="108"/>
      <c r="D75" s="93"/>
    </row>
    <row r="76" spans="1:4" ht="15.75" x14ac:dyDescent="0.25">
      <c r="A76" s="109" t="s">
        <v>296</v>
      </c>
      <c r="B76" s="23">
        <f>43055.31*1.04*1.1194</f>
        <v>50123.958574559998</v>
      </c>
      <c r="C76" s="108"/>
      <c r="D76" s="93"/>
    </row>
    <row r="77" spans="1:4" s="79" customFormat="1" ht="15.75" x14ac:dyDescent="0.25">
      <c r="A77" s="116" t="s">
        <v>297</v>
      </c>
      <c r="B77" s="208">
        <f>B78+B79+B80+B81</f>
        <v>54425.768237862867</v>
      </c>
      <c r="C77" s="108"/>
      <c r="D77" s="93"/>
    </row>
    <row r="78" spans="1:4" ht="32.25" thickBot="1" x14ac:dyDescent="0.3">
      <c r="A78" s="119" t="s">
        <v>329</v>
      </c>
      <c r="B78" s="23">
        <f>'[3]34тарифы'!D170*B15*1.1194</f>
        <v>38089.451924637004</v>
      </c>
      <c r="C78" s="96"/>
      <c r="D78" s="93"/>
    </row>
    <row r="79" spans="1:4" ht="16.5" thickBot="1" x14ac:dyDescent="0.3">
      <c r="A79" s="51" t="s">
        <v>299</v>
      </c>
      <c r="B79" s="23">
        <f>(B26/1.2)*30%</f>
        <v>6985.0675000000001</v>
      </c>
      <c r="C79" s="98"/>
      <c r="D79" s="108"/>
    </row>
    <row r="80" spans="1:4" ht="15.75" x14ac:dyDescent="0.25">
      <c r="A80" s="120" t="s">
        <v>330</v>
      </c>
      <c r="B80" s="23">
        <f>3019.25+3158.4</f>
        <v>6177.65</v>
      </c>
      <c r="C80" s="117"/>
      <c r="D80" s="93"/>
    </row>
    <row r="81" spans="1:4" ht="15.75" x14ac:dyDescent="0.25">
      <c r="A81" s="120" t="s">
        <v>331</v>
      </c>
      <c r="B81" s="23">
        <f>'[3]34тарифы'!D173*B13*1.1194</f>
        <v>3173.5988132258672</v>
      </c>
      <c r="C81" s="108"/>
      <c r="D81" s="93"/>
    </row>
    <row r="82" spans="1:4" ht="15.75" x14ac:dyDescent="0.25">
      <c r="A82" s="121" t="s">
        <v>302</v>
      </c>
      <c r="B82" s="28">
        <f>B32+B42+B46+B66+B75+B77</f>
        <v>354332.14503199683</v>
      </c>
      <c r="C82" s="108"/>
      <c r="D82" s="93"/>
    </row>
    <row r="83" spans="1:4" ht="15.75" x14ac:dyDescent="0.25">
      <c r="A83" s="122" t="s">
        <v>303</v>
      </c>
      <c r="B83" s="23">
        <f>B82*0.03</f>
        <v>10629.964350959905</v>
      </c>
      <c r="C83" s="108"/>
      <c r="D83" s="93"/>
    </row>
    <row r="84" spans="1:4" s="103" customFormat="1" ht="15.75" x14ac:dyDescent="0.25">
      <c r="A84" s="123" t="s">
        <v>304</v>
      </c>
      <c r="B84" s="208">
        <f>B82+B83</f>
        <v>364962.10938295675</v>
      </c>
      <c r="C84" s="108"/>
      <c r="D84" s="93"/>
    </row>
    <row r="85" spans="1:4" ht="16.5" thickBot="1" x14ac:dyDescent="0.3">
      <c r="A85" s="124" t="s">
        <v>305</v>
      </c>
      <c r="B85" s="240">
        <f>B84*0.2</f>
        <v>72992.421876591354</v>
      </c>
      <c r="C85" s="108"/>
      <c r="D85" s="93"/>
    </row>
    <row r="86" spans="1:4" s="79" customFormat="1" ht="16.5" thickBot="1" x14ac:dyDescent="0.3">
      <c r="A86" s="125" t="s">
        <v>306</v>
      </c>
      <c r="B86" s="66">
        <f>B84+B85</f>
        <v>437954.53125954809</v>
      </c>
      <c r="C86" s="89"/>
      <c r="D86" s="126"/>
    </row>
    <row r="87" spans="1:4" s="79" customFormat="1" ht="16.5" thickBot="1" x14ac:dyDescent="0.3">
      <c r="A87" s="127" t="s">
        <v>307</v>
      </c>
      <c r="B87" s="296">
        <f>B10+B24+B26+B28+B29-B86</f>
        <v>-542647.04125954816</v>
      </c>
      <c r="C87" s="128"/>
      <c r="D87" s="129"/>
    </row>
    <row r="88" spans="1:4" s="79" customFormat="1" ht="16.5" thickBot="1" x14ac:dyDescent="0.3">
      <c r="A88" s="130" t="s">
        <v>308</v>
      </c>
      <c r="B88" s="66">
        <f>B10+B25+B27+B28+B29-B86</f>
        <v>-533292.29125954816</v>
      </c>
      <c r="C88" s="131"/>
      <c r="D88" s="129"/>
    </row>
    <row r="89" spans="1:4" s="79" customFormat="1" ht="16.5" hidden="1" thickBot="1" x14ac:dyDescent="0.3">
      <c r="A89" s="132" t="s">
        <v>309</v>
      </c>
      <c r="B89" s="66">
        <f>B11+B24-B25</f>
        <v>3134.2199999999721</v>
      </c>
      <c r="C89" s="129"/>
      <c r="D89" s="129"/>
    </row>
    <row r="90" spans="1:4" s="79" customFormat="1" ht="15.75" x14ac:dyDescent="0.25">
      <c r="A90" s="133"/>
      <c r="B90" s="242"/>
      <c r="C90" s="129"/>
      <c r="D90" s="129"/>
    </row>
    <row r="91" spans="1:4" ht="15.75" x14ac:dyDescent="0.25">
      <c r="A91" s="134"/>
      <c r="B91" s="3"/>
      <c r="C91" s="77"/>
      <c r="D91" s="77"/>
    </row>
    <row r="92" spans="1:4" ht="15.75" x14ac:dyDescent="0.25">
      <c r="A92" s="323" t="s">
        <v>332</v>
      </c>
      <c r="B92" s="323"/>
      <c r="C92" s="77"/>
      <c r="D92" s="77"/>
    </row>
    <row r="93" spans="1:4" ht="15.75" x14ac:dyDescent="0.25">
      <c r="A93" s="134"/>
      <c r="B93" s="3"/>
      <c r="C93" s="77"/>
      <c r="D93" s="77"/>
    </row>
    <row r="94" spans="1:4" ht="15.75" hidden="1" x14ac:dyDescent="0.25">
      <c r="A94" s="324" t="s">
        <v>333</v>
      </c>
      <c r="B94" s="324"/>
      <c r="C94" s="135"/>
      <c r="D94" s="77"/>
    </row>
    <row r="95" spans="1:4" ht="15.75" x14ac:dyDescent="0.25">
      <c r="A95" s="77"/>
      <c r="B95" s="3"/>
      <c r="C95" s="77"/>
      <c r="D95" s="77"/>
    </row>
  </sheetData>
  <autoFilter ref="A31:G89" xr:uid="{00000000-0009-0000-0000-00002A000000}">
    <filterColumn colId="1">
      <filters>
        <filter val="1 086,00"/>
        <filter val="1 782,67"/>
        <filter val="11 250,93"/>
        <filter val="121 524,26"/>
        <filter val="14 955,82"/>
        <filter val="2 853,00"/>
        <filter val="24 687,22"/>
        <filter val="25 494,11"/>
        <filter val="26 900,61"/>
        <filter val="3 134,22"/>
        <filter val="3 173,60"/>
        <filter val="3 185,19"/>
        <filter val="3 421,76"/>
        <filter val="3 464,40"/>
        <filter val="30 000,69"/>
        <filter val="375 031,10"/>
        <filter val="38 089,45"/>
        <filter val="386 282,03"/>
        <filter val="-429 651,85"/>
        <filter val="-439 006,60"/>
        <filter val="463 538,43"/>
        <filter val="49 444,76"/>
        <filter val="5 006,79"/>
        <filter val="50 123,96"/>
        <filter val="50 468,20"/>
        <filter val="54 737,73"/>
        <filter val="56 858,49"/>
        <filter val="6 160,84"/>
        <filter val="6 489,61"/>
        <filter val="6 985,07"/>
        <filter val="68 176,26"/>
        <filter val="7 303,19"/>
        <filter val="77 256,41"/>
        <filter val="9 194,62"/>
        <filter val="9 354,13"/>
        <filter val="9 478,93"/>
        <filter val="9 536,87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77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filterMode="1">
    <pageSetUpPr fitToPage="1"/>
  </sheetPr>
  <dimension ref="A1:G95"/>
  <sheetViews>
    <sheetView view="pageBreakPreview" topLeftCell="A45" zoomScale="80" zoomScaleNormal="100" zoomScaleSheetLayoutView="80" workbookViewId="0">
      <selection activeCell="B81" sqref="B81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25" t="s">
        <v>224</v>
      </c>
      <c r="B1" s="325"/>
      <c r="C1" s="77"/>
      <c r="D1" s="77"/>
    </row>
    <row r="2" spans="1:4" ht="16.5" x14ac:dyDescent="0.25">
      <c r="A2" s="326" t="s">
        <v>225</v>
      </c>
      <c r="B2" s="326"/>
      <c r="C2" s="77"/>
      <c r="D2" s="77"/>
    </row>
    <row r="3" spans="1:4" ht="16.5" x14ac:dyDescent="0.25">
      <c r="A3" s="326" t="s">
        <v>226</v>
      </c>
      <c r="B3" s="326"/>
      <c r="C3" s="77"/>
      <c r="D3" s="77"/>
    </row>
    <row r="4" spans="1:4" ht="15.75" x14ac:dyDescent="0.25">
      <c r="A4" s="78" t="s">
        <v>516</v>
      </c>
      <c r="B4" s="78"/>
      <c r="C4" s="77"/>
      <c r="D4" s="77"/>
    </row>
    <row r="5" spans="1:4" ht="15.75" x14ac:dyDescent="0.25">
      <c r="A5" s="78" t="s">
        <v>136</v>
      </c>
      <c r="B5" s="78"/>
      <c r="C5" s="77"/>
      <c r="D5" s="77"/>
    </row>
    <row r="6" spans="1:4" ht="5.25" customHeight="1" x14ac:dyDescent="0.25">
      <c r="A6" s="78"/>
      <c r="B6" s="8"/>
      <c r="C6" s="79"/>
      <c r="D6" s="77"/>
    </row>
    <row r="7" spans="1:4" ht="16.5" thickBot="1" x14ac:dyDescent="0.3">
      <c r="A7" s="80"/>
      <c r="B7" s="8"/>
      <c r="C7" s="79"/>
      <c r="D7" s="77"/>
    </row>
    <row r="8" spans="1:4" ht="15.75" customHeight="1" x14ac:dyDescent="0.2">
      <c r="A8" s="327" t="s">
        <v>227</v>
      </c>
      <c r="B8" s="329" t="s">
        <v>228</v>
      </c>
      <c r="C8" s="331" t="s">
        <v>229</v>
      </c>
      <c r="D8" s="321" t="s">
        <v>230</v>
      </c>
    </row>
    <row r="9" spans="1:4" ht="28.5" customHeight="1" thickBot="1" x14ac:dyDescent="0.25">
      <c r="A9" s="328"/>
      <c r="B9" s="330"/>
      <c r="C9" s="332"/>
      <c r="D9" s="322"/>
    </row>
    <row r="10" spans="1:4" ht="16.5" thickBot="1" x14ac:dyDescent="0.25">
      <c r="A10" s="81" t="s">
        <v>231</v>
      </c>
      <c r="B10" s="302">
        <f>VLOOKUP(A5,мкд!S:T,2,FALSE)</f>
        <v>92684.89</v>
      </c>
      <c r="C10" s="83"/>
      <c r="D10" s="84"/>
    </row>
    <row r="11" spans="1:4" ht="16.5" hidden="1" thickBot="1" x14ac:dyDescent="0.25">
      <c r="A11" s="85" t="s">
        <v>232</v>
      </c>
      <c r="B11" s="210"/>
      <c r="C11" s="84"/>
      <c r="D11" s="86"/>
    </row>
    <row r="12" spans="1:4" ht="16.5" thickBot="1" x14ac:dyDescent="0.3">
      <c r="A12" s="87" t="s">
        <v>233</v>
      </c>
      <c r="B12" s="217"/>
      <c r="C12" s="89" t="s">
        <v>234</v>
      </c>
      <c r="D12" s="90" t="s">
        <v>234</v>
      </c>
    </row>
    <row r="13" spans="1:4" ht="16.5" hidden="1" thickBot="1" x14ac:dyDescent="0.3">
      <c r="A13" s="91" t="s">
        <v>235</v>
      </c>
      <c r="B13" s="23">
        <v>2019.3</v>
      </c>
      <c r="C13" s="90" t="s">
        <v>234</v>
      </c>
      <c r="D13" s="92" t="s">
        <v>234</v>
      </c>
    </row>
    <row r="14" spans="1:4" ht="16.5" hidden="1" thickBot="1" x14ac:dyDescent="0.3">
      <c r="A14" s="91" t="s">
        <v>236</v>
      </c>
      <c r="B14" s="23">
        <v>0</v>
      </c>
      <c r="C14" s="93"/>
      <c r="D14" s="92"/>
    </row>
    <row r="15" spans="1:4" ht="16.5" hidden="1" thickBot="1" x14ac:dyDescent="0.3">
      <c r="A15" s="91" t="s">
        <v>237</v>
      </c>
      <c r="B15" s="23">
        <f>B13+B14</f>
        <v>2019.3</v>
      </c>
      <c r="C15" s="94"/>
      <c r="D15" s="95"/>
    </row>
    <row r="16" spans="1:4" ht="16.5" hidden="1" thickBot="1" x14ac:dyDescent="0.3">
      <c r="A16" s="91" t="s">
        <v>238</v>
      </c>
      <c r="B16" s="23">
        <f>535.6+1785/3</f>
        <v>1130.5999999999999</v>
      </c>
      <c r="C16" s="96" t="s">
        <v>234</v>
      </c>
      <c r="D16" s="95" t="s">
        <v>234</v>
      </c>
    </row>
    <row r="17" spans="1:7" ht="16.5" hidden="1" thickBot="1" x14ac:dyDescent="0.3">
      <c r="A17" s="91" t="s">
        <v>239</v>
      </c>
      <c r="B17" s="23">
        <v>0</v>
      </c>
      <c r="C17" s="90" t="s">
        <v>234</v>
      </c>
      <c r="D17" s="92" t="s">
        <v>234</v>
      </c>
      <c r="E17" s="77"/>
      <c r="F17" s="77"/>
      <c r="G17" s="77"/>
    </row>
    <row r="18" spans="1:7" ht="16.5" hidden="1" thickBot="1" x14ac:dyDescent="0.3">
      <c r="A18" s="91" t="s">
        <v>240</v>
      </c>
      <c r="B18" s="23">
        <v>641.70000000000005</v>
      </c>
      <c r="C18" s="95" t="s">
        <v>234</v>
      </c>
      <c r="D18" s="92" t="s">
        <v>234</v>
      </c>
      <c r="E18" s="77"/>
      <c r="F18" s="77"/>
      <c r="G18" s="77"/>
    </row>
    <row r="19" spans="1:7" ht="16.5" hidden="1" thickBot="1" x14ac:dyDescent="0.3">
      <c r="A19" s="91" t="s">
        <v>241</v>
      </c>
      <c r="B19" s="23">
        <v>0</v>
      </c>
      <c r="C19" s="95" t="s">
        <v>234</v>
      </c>
      <c r="D19" s="92" t="s">
        <v>234</v>
      </c>
      <c r="E19" s="77"/>
      <c r="F19" s="77"/>
      <c r="G19" s="77"/>
    </row>
    <row r="20" spans="1:7" ht="16.5" hidden="1" thickBot="1" x14ac:dyDescent="0.3">
      <c r="A20" s="91" t="s">
        <v>242</v>
      </c>
      <c r="B20" s="23">
        <v>829</v>
      </c>
      <c r="C20" s="95"/>
      <c r="D20" s="92"/>
      <c r="E20" s="77"/>
      <c r="F20" s="77"/>
      <c r="G20" s="77"/>
    </row>
    <row r="21" spans="1:7" ht="16.5" hidden="1" thickBot="1" x14ac:dyDescent="0.3">
      <c r="A21" s="91" t="s">
        <v>243</v>
      </c>
      <c r="B21" s="23">
        <v>0</v>
      </c>
      <c r="C21" s="95" t="s">
        <v>234</v>
      </c>
      <c r="D21" s="92" t="s">
        <v>234</v>
      </c>
      <c r="E21" s="77"/>
      <c r="F21" s="77"/>
      <c r="G21" s="77"/>
    </row>
    <row r="22" spans="1:7" ht="16.5" hidden="1" thickBot="1" x14ac:dyDescent="0.3">
      <c r="A22" s="91" t="s">
        <v>244</v>
      </c>
      <c r="B22" s="23">
        <v>119</v>
      </c>
      <c r="C22" s="93"/>
      <c r="D22" s="92"/>
      <c r="E22" s="77"/>
      <c r="F22" s="77"/>
      <c r="G22" s="77"/>
    </row>
    <row r="23" spans="1:7" ht="15.75" x14ac:dyDescent="0.25">
      <c r="A23" s="91"/>
      <c r="B23" s="23"/>
      <c r="C23" s="94"/>
      <c r="D23" s="95"/>
      <c r="E23" s="77">
        <v>10</v>
      </c>
      <c r="F23" s="77">
        <v>2</v>
      </c>
      <c r="G23" s="77"/>
    </row>
    <row r="24" spans="1:7" ht="15.75" x14ac:dyDescent="0.25">
      <c r="A24" s="97" t="s">
        <v>319</v>
      </c>
      <c r="B24" s="28">
        <f>VLOOKUP(A5,[2]Лист1!M$1:N$65536,2,FALSE)</f>
        <v>403827.74</v>
      </c>
      <c r="C24" s="92"/>
      <c r="D24" s="95"/>
      <c r="E24" s="26">
        <v>16.38</v>
      </c>
      <c r="F24" s="256">
        <v>18.335771999999999</v>
      </c>
      <c r="G24" s="77"/>
    </row>
    <row r="25" spans="1:7" ht="16.5" thickBot="1" x14ac:dyDescent="0.3">
      <c r="A25" s="97" t="s">
        <v>320</v>
      </c>
      <c r="B25" s="28">
        <f>VLOOKUP(A5,[2]Лист1!M$1:O$65536,3,FALSE)</f>
        <v>390813.39</v>
      </c>
      <c r="C25" s="96"/>
      <c r="D25" s="95"/>
      <c r="E25" s="77"/>
      <c r="F25" s="77"/>
      <c r="G25" s="77"/>
    </row>
    <row r="26" spans="1:7" ht="16.5" hidden="1" thickBot="1" x14ac:dyDescent="0.3">
      <c r="A26" s="97" t="s">
        <v>321</v>
      </c>
      <c r="B26" s="28"/>
      <c r="C26" s="90"/>
      <c r="D26" s="92"/>
      <c r="E26" s="77"/>
      <c r="F26" s="77"/>
      <c r="G26" s="77"/>
    </row>
    <row r="27" spans="1:7" ht="16.5" hidden="1" thickBot="1" x14ac:dyDescent="0.3">
      <c r="A27" s="97" t="s">
        <v>248</v>
      </c>
      <c r="B27" s="28">
        <f>B26</f>
        <v>0</v>
      </c>
      <c r="C27" s="93"/>
      <c r="D27" s="92"/>
      <c r="E27" s="77"/>
      <c r="F27" s="77"/>
      <c r="G27" s="77"/>
    </row>
    <row r="28" spans="1:7" ht="16.5" thickBot="1" x14ac:dyDescent="0.3">
      <c r="A28" s="97" t="s">
        <v>249</v>
      </c>
      <c r="B28" s="28">
        <v>7611.96</v>
      </c>
      <c r="C28" s="89"/>
      <c r="D28" s="95"/>
      <c r="E28" s="77"/>
      <c r="F28" s="77"/>
      <c r="G28" s="77"/>
    </row>
    <row r="29" spans="1:7" ht="16.5" hidden="1" thickBot="1" x14ac:dyDescent="0.3">
      <c r="A29" s="97" t="s">
        <v>250</v>
      </c>
      <c r="B29" s="28"/>
      <c r="C29" s="98"/>
      <c r="D29" s="92"/>
      <c r="E29" s="77"/>
      <c r="F29" s="77"/>
      <c r="G29" s="77"/>
    </row>
    <row r="30" spans="1:7" ht="15.75" x14ac:dyDescent="0.25">
      <c r="A30" s="99"/>
      <c r="B30" s="23"/>
      <c r="C30" s="94"/>
      <c r="D30" s="95"/>
      <c r="E30" s="77"/>
      <c r="F30" s="77"/>
      <c r="G30" s="77"/>
    </row>
    <row r="31" spans="1:7" ht="15.75" x14ac:dyDescent="0.25">
      <c r="A31" s="100" t="s">
        <v>251</v>
      </c>
      <c r="B31" s="23"/>
      <c r="C31" s="92"/>
      <c r="D31" s="95"/>
      <c r="E31" s="77"/>
      <c r="F31" s="77"/>
      <c r="G31" s="77"/>
    </row>
    <row r="32" spans="1:7" s="103" customFormat="1" ht="31.5" x14ac:dyDescent="0.25">
      <c r="A32" s="101" t="s">
        <v>252</v>
      </c>
      <c r="B32" s="208">
        <f>SUM(B33:B41)</f>
        <v>21753.623024888799</v>
      </c>
      <c r="C32" s="92"/>
      <c r="D32" s="95"/>
      <c r="E32" s="102">
        <f>(B86-B26-B24)/1.2/1.03</f>
        <v>28436.854523462633</v>
      </c>
      <c r="F32" s="102" t="e">
        <f>(#REF!-#REF!-#REF!)/1.2/1.03</f>
        <v>#REF!</v>
      </c>
      <c r="G32" s="102" t="e">
        <f>(#REF!-#REF!-#REF!)/1.2/1.03</f>
        <v>#REF!</v>
      </c>
    </row>
    <row r="33" spans="1:7" ht="16.5" thickBot="1" x14ac:dyDescent="0.3">
      <c r="A33" s="104" t="s">
        <v>253</v>
      </c>
      <c r="B33" s="23">
        <f>8467.87*1.1194</f>
        <v>9478.9336780000012</v>
      </c>
      <c r="C33" s="96"/>
      <c r="D33" s="95">
        <v>23564.33</v>
      </c>
      <c r="E33" s="77"/>
      <c r="F33" s="77"/>
      <c r="G33" s="77"/>
    </row>
    <row r="34" spans="1:7" ht="15.75" hidden="1" x14ac:dyDescent="0.25">
      <c r="A34" s="104" t="s">
        <v>322</v>
      </c>
      <c r="B34" s="23">
        <v>0</v>
      </c>
      <c r="C34" s="90"/>
      <c r="D34" s="92">
        <v>0</v>
      </c>
      <c r="E34" s="77"/>
      <c r="F34" s="77"/>
      <c r="G34" s="77"/>
    </row>
    <row r="35" spans="1:7" ht="15.75" x14ac:dyDescent="0.25">
      <c r="A35" s="104" t="s">
        <v>256</v>
      </c>
      <c r="B35" s="23">
        <v>2094.56</v>
      </c>
      <c r="C35" s="95"/>
      <c r="D35" s="92">
        <v>0</v>
      </c>
      <c r="E35" s="77"/>
      <c r="F35" s="77"/>
      <c r="G35" s="77"/>
    </row>
    <row r="36" spans="1:7" ht="16.5" thickBot="1" x14ac:dyDescent="0.3">
      <c r="A36" s="104" t="s">
        <v>255</v>
      </c>
      <c r="B36" s="23">
        <v>10180.129346888798</v>
      </c>
      <c r="C36" s="95" t="s">
        <v>234</v>
      </c>
      <c r="D36" s="92">
        <v>0</v>
      </c>
      <c r="E36" s="77"/>
      <c r="F36" s="77"/>
      <c r="G36" s="77"/>
    </row>
    <row r="37" spans="1:7" ht="16.5" hidden="1" thickBot="1" x14ac:dyDescent="0.3">
      <c r="A37" s="104" t="s">
        <v>257</v>
      </c>
      <c r="B37" s="23">
        <v>0</v>
      </c>
      <c r="C37" s="95"/>
      <c r="D37" s="92">
        <v>0</v>
      </c>
      <c r="E37" s="77"/>
      <c r="F37" s="77"/>
      <c r="G37" s="77"/>
    </row>
    <row r="38" spans="1:7" ht="16.5" hidden="1" thickBot="1" x14ac:dyDescent="0.3">
      <c r="A38" s="104" t="s">
        <v>258</v>
      </c>
      <c r="B38" s="23">
        <v>0</v>
      </c>
      <c r="C38" s="95"/>
      <c r="D38" s="92">
        <v>0</v>
      </c>
      <c r="E38" s="77"/>
      <c r="F38" s="77"/>
      <c r="G38" s="77"/>
    </row>
    <row r="39" spans="1:7" ht="16.5" hidden="1" thickBot="1" x14ac:dyDescent="0.3">
      <c r="A39" s="104" t="s">
        <v>324</v>
      </c>
      <c r="B39" s="23">
        <v>0</v>
      </c>
      <c r="C39" s="95"/>
      <c r="D39" s="92">
        <v>0</v>
      </c>
      <c r="E39" s="77"/>
      <c r="F39" s="77"/>
      <c r="G39" s="77"/>
    </row>
    <row r="40" spans="1:7" ht="16.5" hidden="1" thickBot="1" x14ac:dyDescent="0.3">
      <c r="A40" s="104" t="s">
        <v>343</v>
      </c>
      <c r="B40" s="23">
        <v>0</v>
      </c>
      <c r="C40" s="95"/>
      <c r="D40" s="92"/>
      <c r="E40" s="77"/>
      <c r="F40" s="77"/>
      <c r="G40" s="77"/>
    </row>
    <row r="41" spans="1:7" ht="16.5" hidden="1" thickBot="1" x14ac:dyDescent="0.3">
      <c r="A41" s="104" t="s">
        <v>499</v>
      </c>
      <c r="B41" s="23"/>
      <c r="C41" s="93"/>
      <c r="D41" s="92"/>
      <c r="E41" s="77"/>
      <c r="F41" s="77"/>
      <c r="G41" s="77"/>
    </row>
    <row r="42" spans="1:7" s="103" customFormat="1" ht="48" thickBot="1" x14ac:dyDescent="0.3">
      <c r="A42" s="101" t="s">
        <v>325</v>
      </c>
      <c r="B42" s="208">
        <f>SUM(B43:B45)</f>
        <v>45208.085225185161</v>
      </c>
      <c r="C42" s="89"/>
      <c r="D42" s="95"/>
      <c r="E42" s="102"/>
      <c r="F42" s="102"/>
      <c r="G42" s="102"/>
    </row>
    <row r="43" spans="1:7" ht="15.75" x14ac:dyDescent="0.25">
      <c r="A43" s="104" t="s">
        <v>262</v>
      </c>
      <c r="B43" s="23">
        <v>2866.59</v>
      </c>
      <c r="C43" s="98"/>
      <c r="D43" s="108"/>
      <c r="E43" s="77"/>
      <c r="F43" s="77"/>
      <c r="G43" s="77"/>
    </row>
    <row r="44" spans="1:7" ht="15.75" x14ac:dyDescent="0.25">
      <c r="A44" s="104" t="s">
        <v>263</v>
      </c>
      <c r="B44" s="23">
        <v>30193.110653111191</v>
      </c>
      <c r="C44" s="93"/>
      <c r="D44" s="108"/>
      <c r="E44" s="77"/>
      <c r="F44" s="77"/>
      <c r="G44" s="77"/>
    </row>
    <row r="45" spans="1:7" ht="16.5" thickBot="1" x14ac:dyDescent="0.3">
      <c r="A45" s="109" t="s">
        <v>264</v>
      </c>
      <c r="B45" s="23">
        <f>('[3]34тарифы'!D163*B15+139.26)*1.1194</f>
        <v>12148.384572073974</v>
      </c>
      <c r="C45" s="93"/>
      <c r="D45" s="108"/>
      <c r="E45" s="77"/>
      <c r="F45" s="77"/>
      <c r="G45" s="77"/>
    </row>
    <row r="46" spans="1:7" s="79" customFormat="1" ht="16.5" thickBot="1" x14ac:dyDescent="0.3">
      <c r="A46" s="101" t="s">
        <v>265</v>
      </c>
      <c r="B46" s="208">
        <f>SUM(B47:B65)</f>
        <v>25268.11</v>
      </c>
      <c r="C46" s="89"/>
      <c r="D46" s="95"/>
    </row>
    <row r="47" spans="1:7" ht="15.75" x14ac:dyDescent="0.25">
      <c r="A47" s="104" t="s">
        <v>326</v>
      </c>
      <c r="B47" s="23">
        <v>2695.08</v>
      </c>
      <c r="C47" s="90"/>
      <c r="D47" s="92"/>
      <c r="E47" s="77" t="s">
        <v>267</v>
      </c>
      <c r="F47" s="77"/>
      <c r="G47" s="77"/>
    </row>
    <row r="48" spans="1:7" ht="15.75" x14ac:dyDescent="0.25">
      <c r="A48" s="104" t="s">
        <v>317</v>
      </c>
      <c r="B48" s="23">
        <v>3272.64</v>
      </c>
      <c r="C48" s="95"/>
      <c r="D48" s="92"/>
      <c r="E48" s="77" t="s">
        <v>269</v>
      </c>
      <c r="F48" s="77"/>
      <c r="G48" s="77"/>
    </row>
    <row r="49" spans="1:5" ht="15.75" x14ac:dyDescent="0.25">
      <c r="A49" s="110" t="s">
        <v>402</v>
      </c>
      <c r="B49" s="23">
        <v>0</v>
      </c>
      <c r="C49" s="95"/>
      <c r="D49" s="92"/>
      <c r="E49" s="77"/>
    </row>
    <row r="50" spans="1:5" ht="15.75" hidden="1" x14ac:dyDescent="0.25">
      <c r="A50" s="110" t="s">
        <v>271</v>
      </c>
      <c r="B50" s="23">
        <v>0</v>
      </c>
      <c r="C50" s="95"/>
      <c r="D50" s="92">
        <v>4190</v>
      </c>
      <c r="E50" s="77"/>
    </row>
    <row r="51" spans="1:5" ht="15.75" hidden="1" x14ac:dyDescent="0.25">
      <c r="A51" s="110" t="s">
        <v>272</v>
      </c>
      <c r="B51" s="23">
        <v>0</v>
      </c>
      <c r="C51" s="95"/>
      <c r="D51" s="92"/>
      <c r="E51" s="77"/>
    </row>
    <row r="52" spans="1:5" ht="15.75" x14ac:dyDescent="0.25">
      <c r="A52" s="110" t="s">
        <v>492</v>
      </c>
      <c r="B52" s="23">
        <v>2585.42</v>
      </c>
      <c r="C52" s="95"/>
      <c r="D52" s="92">
        <v>105.14</v>
      </c>
      <c r="E52" s="77"/>
    </row>
    <row r="53" spans="1:5" ht="15.75" hidden="1" x14ac:dyDescent="0.25">
      <c r="A53" s="110" t="s">
        <v>274</v>
      </c>
      <c r="B53" s="23">
        <v>0</v>
      </c>
      <c r="C53" s="95">
        <v>0</v>
      </c>
      <c r="D53" s="92">
        <v>522.99</v>
      </c>
      <c r="E53" s="77"/>
    </row>
    <row r="54" spans="1:5" ht="15.75" hidden="1" x14ac:dyDescent="0.25">
      <c r="A54" s="110" t="s">
        <v>275</v>
      </c>
      <c r="B54" s="23">
        <v>0</v>
      </c>
      <c r="C54" s="95">
        <v>0</v>
      </c>
      <c r="D54" s="111">
        <v>695.13</v>
      </c>
      <c r="E54" s="77"/>
    </row>
    <row r="55" spans="1:5" ht="15.75" hidden="1" x14ac:dyDescent="0.25">
      <c r="A55" s="110" t="s">
        <v>276</v>
      </c>
      <c r="B55" s="23">
        <v>0</v>
      </c>
      <c r="C55" s="95"/>
      <c r="D55" s="111"/>
      <c r="E55" s="77"/>
    </row>
    <row r="56" spans="1:5" ht="15.75" hidden="1" x14ac:dyDescent="0.25">
      <c r="A56" s="110" t="s">
        <v>277</v>
      </c>
      <c r="B56" s="23">
        <v>0</v>
      </c>
      <c r="C56" s="95">
        <v>0</v>
      </c>
      <c r="D56" s="92">
        <f>10695.76/1.18</f>
        <v>9064.203389830509</v>
      </c>
      <c r="E56" s="77"/>
    </row>
    <row r="57" spans="1:5" ht="15.75" hidden="1" x14ac:dyDescent="0.25">
      <c r="A57" s="110" t="s">
        <v>314</v>
      </c>
      <c r="B57" s="23">
        <v>0</v>
      </c>
      <c r="C57" s="95">
        <v>0</v>
      </c>
      <c r="D57" s="92">
        <f>2300/1.18</f>
        <v>1949.1525423728815</v>
      </c>
      <c r="E57" s="77"/>
    </row>
    <row r="58" spans="1:5" ht="15.75" hidden="1" x14ac:dyDescent="0.25">
      <c r="A58" s="110" t="s">
        <v>315</v>
      </c>
      <c r="B58" s="23">
        <v>0</v>
      </c>
      <c r="C58" s="93">
        <v>0</v>
      </c>
      <c r="D58" s="92">
        <v>0</v>
      </c>
      <c r="E58" s="77"/>
    </row>
    <row r="59" spans="1:5" ht="16.5" hidden="1" thickBot="1" x14ac:dyDescent="0.3">
      <c r="A59" s="110" t="s">
        <v>279</v>
      </c>
      <c r="B59" s="23">
        <f>B13*'[3]34тарифы'!D184</f>
        <v>0</v>
      </c>
      <c r="C59" s="89"/>
      <c r="D59" s="95"/>
      <c r="E59" s="77"/>
    </row>
    <row r="60" spans="1:5" ht="15.75" hidden="1" x14ac:dyDescent="0.25">
      <c r="A60" s="104" t="s">
        <v>280</v>
      </c>
      <c r="B60" s="23">
        <v>0</v>
      </c>
      <c r="C60" s="90"/>
      <c r="D60" s="92"/>
      <c r="E60" s="77"/>
    </row>
    <row r="61" spans="1:5" ht="15.75" hidden="1" x14ac:dyDescent="0.25">
      <c r="A61" s="104" t="s">
        <v>281</v>
      </c>
      <c r="B61" s="23">
        <v>0</v>
      </c>
      <c r="C61" s="95"/>
      <c r="D61" s="92">
        <v>0</v>
      </c>
      <c r="E61" s="77"/>
    </row>
    <row r="62" spans="1:5" ht="15.75" hidden="1" x14ac:dyDescent="0.25">
      <c r="A62" s="104" t="s">
        <v>340</v>
      </c>
      <c r="B62" s="23">
        <v>0</v>
      </c>
      <c r="C62" s="95"/>
      <c r="D62" s="92">
        <v>0</v>
      </c>
      <c r="E62" s="77"/>
    </row>
    <row r="63" spans="1:5" ht="16.5" thickBot="1" x14ac:dyDescent="0.3">
      <c r="A63" s="104" t="s">
        <v>341</v>
      </c>
      <c r="B63" s="229">
        <v>16714.97</v>
      </c>
      <c r="C63" s="113">
        <v>1</v>
      </c>
      <c r="D63" s="92">
        <v>0</v>
      </c>
      <c r="E63" s="77"/>
    </row>
    <row r="64" spans="1:5" ht="16.5" hidden="1" thickBot="1" x14ac:dyDescent="0.3">
      <c r="A64" s="104" t="s">
        <v>284</v>
      </c>
      <c r="B64" s="229">
        <v>0</v>
      </c>
      <c r="C64" s="114">
        <v>48</v>
      </c>
      <c r="D64" s="95">
        <v>2</v>
      </c>
      <c r="E64" s="77">
        <v>1</v>
      </c>
    </row>
    <row r="65" spans="1:4" s="79" customFormat="1" ht="16.5" hidden="1" thickBot="1" x14ac:dyDescent="0.3">
      <c r="A65" s="104" t="s">
        <v>285</v>
      </c>
      <c r="B65" s="229">
        <v>0</v>
      </c>
      <c r="C65" s="115">
        <v>48</v>
      </c>
      <c r="D65" s="108">
        <f>650/1.18</f>
        <v>550.84745762711873</v>
      </c>
    </row>
    <row r="66" spans="1:4" s="79" customFormat="1" ht="16.5" thickBot="1" x14ac:dyDescent="0.3">
      <c r="A66" s="116" t="s">
        <v>286</v>
      </c>
      <c r="B66" s="208">
        <f>SUM(B67:B74)</f>
        <v>130546.2190986161</v>
      </c>
      <c r="C66" s="89"/>
      <c r="D66" s="93"/>
    </row>
    <row r="67" spans="1:4" ht="16.5" hidden="1" thickBot="1" x14ac:dyDescent="0.3">
      <c r="A67" s="104" t="s">
        <v>287</v>
      </c>
      <c r="B67" s="23">
        <v>0</v>
      </c>
      <c r="C67" s="98"/>
      <c r="D67" s="108"/>
    </row>
    <row r="68" spans="1:4" ht="16.5" thickBot="1" x14ac:dyDescent="0.3">
      <c r="A68" s="104" t="s">
        <v>288</v>
      </c>
      <c r="B68" s="23">
        <f>40923*1.04*1.1194</f>
        <v>47641.574447999999</v>
      </c>
      <c r="C68" s="89"/>
      <c r="D68" s="93"/>
    </row>
    <row r="69" spans="1:4" ht="15.75" hidden="1" x14ac:dyDescent="0.25">
      <c r="A69" s="104" t="s">
        <v>289</v>
      </c>
      <c r="B69" s="23">
        <v>0</v>
      </c>
      <c r="C69" s="98"/>
      <c r="D69" s="108"/>
    </row>
    <row r="70" spans="1:4" ht="16.5" thickBot="1" x14ac:dyDescent="0.3">
      <c r="A70" s="109" t="s">
        <v>290</v>
      </c>
      <c r="B70" s="23">
        <f>'[3]34тарифы'!D164*B13*1.1194</f>
        <v>2492.0328615314224</v>
      </c>
      <c r="C70" s="93"/>
      <c r="D70" s="108"/>
    </row>
    <row r="71" spans="1:4" ht="15.75" x14ac:dyDescent="0.25">
      <c r="A71" s="109" t="s">
        <v>291</v>
      </c>
      <c r="B71" s="23">
        <f>VLOOKUP(A71,[2]Лист1!S$1:T$65536,2,FALSE)*B15</f>
        <v>9339.0703316280196</v>
      </c>
      <c r="C71" s="117"/>
      <c r="D71" s="93"/>
    </row>
    <row r="72" spans="1:4" ht="15.75" x14ac:dyDescent="0.25">
      <c r="A72" s="109" t="s">
        <v>292</v>
      </c>
      <c r="B72" s="23">
        <f>VLOOKUP(A72,[2]Лист1!S$1:T$65536,2,FALSE)*B15</f>
        <v>32601.017185456669</v>
      </c>
      <c r="C72" s="108"/>
      <c r="D72" s="93"/>
    </row>
    <row r="73" spans="1:4" ht="15.75" x14ac:dyDescent="0.25">
      <c r="A73" s="41" t="s">
        <v>293</v>
      </c>
      <c r="B73" s="23">
        <f>3499*1.04*1.1194</f>
        <v>4073.4518239999998</v>
      </c>
      <c r="C73" s="108"/>
      <c r="D73" s="93"/>
    </row>
    <row r="74" spans="1:4" ht="15.75" x14ac:dyDescent="0.25">
      <c r="A74" s="109" t="s">
        <v>294</v>
      </c>
      <c r="B74" s="23">
        <f>29548*1.04*1.1194</f>
        <v>34399.072447999999</v>
      </c>
      <c r="C74" s="108"/>
      <c r="D74" s="93"/>
    </row>
    <row r="75" spans="1:4" ht="47.25" x14ac:dyDescent="0.25">
      <c r="A75" s="118" t="s">
        <v>328</v>
      </c>
      <c r="B75" s="208">
        <f>SUM(B76:B76)</f>
        <v>68684.711616084824</v>
      </c>
      <c r="C75" s="108"/>
      <c r="D75" s="93"/>
    </row>
    <row r="76" spans="1:4" ht="15.75" x14ac:dyDescent="0.25">
      <c r="A76" s="109" t="s">
        <v>296</v>
      </c>
      <c r="B76" s="23">
        <f>'[3]34ОЭР'!D162*1.1194</f>
        <v>68684.711616084824</v>
      </c>
      <c r="C76" s="108"/>
      <c r="D76" s="93"/>
    </row>
    <row r="77" spans="1:4" s="79" customFormat="1" ht="15.75" x14ac:dyDescent="0.25">
      <c r="A77" s="116" t="s">
        <v>297</v>
      </c>
      <c r="B77" s="208">
        <f>SUM(B78:B81)</f>
        <v>63697.578050597076</v>
      </c>
      <c r="C77" s="108"/>
      <c r="D77" s="93"/>
    </row>
    <row r="78" spans="1:4" ht="32.25" thickBot="1" x14ac:dyDescent="0.3">
      <c r="A78" s="119" t="s">
        <v>329</v>
      </c>
      <c r="B78" s="23">
        <f>'[3]34тарифы'!D170*B15*1.1194</f>
        <v>48707.510779190365</v>
      </c>
      <c r="C78" s="96"/>
      <c r="D78" s="93"/>
    </row>
    <row r="79" spans="1:4" ht="16.5" hidden="1" thickBot="1" x14ac:dyDescent="0.3">
      <c r="A79" s="51" t="s">
        <v>299</v>
      </c>
      <c r="B79" s="23">
        <f>(B26/1.2)*30%</f>
        <v>0</v>
      </c>
      <c r="C79" s="98"/>
      <c r="D79" s="108"/>
    </row>
    <row r="80" spans="1:4" ht="15.75" x14ac:dyDescent="0.25">
      <c r="A80" s="120" t="s">
        <v>330</v>
      </c>
      <c r="B80" s="23">
        <f>4617.5+5936.12</f>
        <v>10553.619999999999</v>
      </c>
      <c r="C80" s="117"/>
      <c r="D80" s="93"/>
    </row>
    <row r="81" spans="1:4" ht="15.75" x14ac:dyDescent="0.25">
      <c r="A81" s="120" t="s">
        <v>331</v>
      </c>
      <c r="B81" s="23">
        <f>'[3]34тарифы'!D173*B13*1.1194</f>
        <v>4436.4472714067106</v>
      </c>
      <c r="C81" s="108"/>
      <c r="D81" s="93"/>
    </row>
    <row r="82" spans="1:4" ht="15.75" x14ac:dyDescent="0.25">
      <c r="A82" s="121" t="s">
        <v>302</v>
      </c>
      <c r="B82" s="28">
        <f>B32+B42+B46+B66+B75+B77</f>
        <v>355158.32701537199</v>
      </c>
      <c r="C82" s="108"/>
      <c r="D82" s="93"/>
    </row>
    <row r="83" spans="1:4" ht="15.75" x14ac:dyDescent="0.25">
      <c r="A83" s="122" t="s">
        <v>303</v>
      </c>
      <c r="B83" s="23">
        <f>B82*0.03</f>
        <v>10654.749810461159</v>
      </c>
      <c r="C83" s="108"/>
      <c r="D83" s="93"/>
    </row>
    <row r="84" spans="1:4" s="103" customFormat="1" ht="15.75" x14ac:dyDescent="0.25">
      <c r="A84" s="123" t="s">
        <v>304</v>
      </c>
      <c r="B84" s="208">
        <f>B82+B83</f>
        <v>365813.07682583318</v>
      </c>
      <c r="C84" s="108"/>
      <c r="D84" s="93"/>
    </row>
    <row r="85" spans="1:4" ht="16.5" thickBot="1" x14ac:dyDescent="0.3">
      <c r="A85" s="124" t="s">
        <v>305</v>
      </c>
      <c r="B85" s="240">
        <f>B84*0.2</f>
        <v>73162.615365166639</v>
      </c>
      <c r="C85" s="108"/>
      <c r="D85" s="93"/>
    </row>
    <row r="86" spans="1:4" s="79" customFormat="1" ht="16.5" thickBot="1" x14ac:dyDescent="0.3">
      <c r="A86" s="125" t="s">
        <v>306</v>
      </c>
      <c r="B86" s="66">
        <f>B84+B85</f>
        <v>438975.69219099981</v>
      </c>
      <c r="C86" s="89"/>
      <c r="D86" s="126"/>
    </row>
    <row r="87" spans="1:4" s="79" customFormat="1" ht="16.5" thickBot="1" x14ac:dyDescent="0.3">
      <c r="A87" s="127" t="s">
        <v>307</v>
      </c>
      <c r="B87" s="296">
        <f>B10+B24+B26+B28+B29-B86</f>
        <v>65148.89780900022</v>
      </c>
      <c r="C87" s="128"/>
      <c r="D87" s="129"/>
    </row>
    <row r="88" spans="1:4" s="79" customFormat="1" ht="16.5" thickBot="1" x14ac:dyDescent="0.3">
      <c r="A88" s="130" t="s">
        <v>308</v>
      </c>
      <c r="B88" s="66">
        <f>B10+B25+B27+B28+B29-B86</f>
        <v>52134.547809000243</v>
      </c>
      <c r="C88" s="131"/>
      <c r="D88" s="129"/>
    </row>
    <row r="89" spans="1:4" s="79" customFormat="1" ht="16.5" hidden="1" thickBot="1" x14ac:dyDescent="0.3">
      <c r="A89" s="132" t="s">
        <v>309</v>
      </c>
      <c r="B89" s="66">
        <f>B11+B24-B25</f>
        <v>13014.349999999977</v>
      </c>
      <c r="C89" s="129"/>
      <c r="D89" s="129"/>
    </row>
    <row r="90" spans="1:4" s="79" customFormat="1" ht="15.75" x14ac:dyDescent="0.25">
      <c r="A90" s="133"/>
      <c r="B90" s="242"/>
      <c r="C90" s="129"/>
      <c r="D90" s="129"/>
    </row>
    <row r="91" spans="1:4" ht="15.75" x14ac:dyDescent="0.25">
      <c r="A91" s="134"/>
      <c r="B91" s="3"/>
      <c r="C91" s="77"/>
      <c r="D91" s="77"/>
    </row>
    <row r="92" spans="1:4" ht="15.75" x14ac:dyDescent="0.25">
      <c r="A92" s="323" t="s">
        <v>332</v>
      </c>
      <c r="B92" s="323"/>
      <c r="C92" s="77"/>
      <c r="D92" s="77"/>
    </row>
    <row r="93" spans="1:4" ht="15.75" x14ac:dyDescent="0.25">
      <c r="A93" s="134"/>
      <c r="B93" s="3"/>
      <c r="C93" s="77"/>
      <c r="D93" s="77"/>
    </row>
    <row r="94" spans="1:4" ht="15.75" hidden="1" x14ac:dyDescent="0.25">
      <c r="A94" s="324" t="s">
        <v>333</v>
      </c>
      <c r="B94" s="324"/>
      <c r="C94" s="135"/>
      <c r="D94" s="77"/>
    </row>
    <row r="95" spans="1:4" ht="15.75" x14ac:dyDescent="0.25">
      <c r="A95" s="77"/>
      <c r="B95" s="3"/>
      <c r="C95" s="77"/>
      <c r="D95" s="77"/>
    </row>
  </sheetData>
  <autoFilter ref="A31:G89" xr:uid="{00000000-0009-0000-0000-00002B000000}">
    <filterColumn colId="1">
      <filters>
        <filter val="10 180,13"/>
        <filter val="10 783,54"/>
        <filter val="104,00"/>
        <filter val="12 148,38"/>
        <filter val="130 546,22"/>
        <filter val="19 611,67"/>
        <filter val="2 094,56"/>
        <filter val="2 492,03"/>
        <filter val="2 695,08"/>
        <filter val="2 866,59"/>
        <filter val="21 753,62"/>
        <filter val="3 272,64"/>
        <filter val="30 193,11"/>
        <filter val="30 514,11"/>
        <filter val="32 601,02"/>
        <filter val="34 399,07"/>
        <filter val="359 451,47"/>
        <filter val="370 235,01"/>
        <filter val="4 073,45"/>
        <filter val="4 436,45"/>
        <filter val="4 830,72"/>
        <filter val="444 282,01"/>
        <filter val="45 208,09"/>
        <filter val="47 641,57"/>
        <filter val="48 707,51"/>
        <filter val="62 744,72"/>
        <filter val="68 684,71"/>
        <filter val="74 047,00"/>
        <filter val="79 670,54"/>
        <filter val="9 339,07"/>
        <filter val="9 478,93"/>
        <filter val="9 600,76"/>
        <filter val="92 684,89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83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filterMode="1">
    <pageSetUpPr fitToPage="1"/>
  </sheetPr>
  <dimension ref="A1:G95"/>
  <sheetViews>
    <sheetView view="pageBreakPreview" topLeftCell="A45" zoomScale="80" zoomScaleNormal="100" zoomScaleSheetLayoutView="80" workbookViewId="0">
      <selection activeCell="B81" sqref="B81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25" t="s">
        <v>224</v>
      </c>
      <c r="B1" s="325"/>
      <c r="C1" s="77"/>
      <c r="D1" s="77"/>
    </row>
    <row r="2" spans="1:4" ht="16.5" x14ac:dyDescent="0.25">
      <c r="A2" s="326" t="s">
        <v>225</v>
      </c>
      <c r="B2" s="326"/>
      <c r="C2" s="77"/>
      <c r="D2" s="77"/>
    </row>
    <row r="3" spans="1:4" ht="16.5" x14ac:dyDescent="0.25">
      <c r="A3" s="326" t="s">
        <v>226</v>
      </c>
      <c r="B3" s="326"/>
      <c r="C3" s="77"/>
      <c r="D3" s="77"/>
    </row>
    <row r="4" spans="1:4" ht="15.75" x14ac:dyDescent="0.25">
      <c r="A4" s="78" t="s">
        <v>516</v>
      </c>
      <c r="B4" s="78"/>
      <c r="C4" s="77"/>
      <c r="D4" s="77"/>
    </row>
    <row r="5" spans="1:4" ht="15.75" x14ac:dyDescent="0.25">
      <c r="A5" s="78" t="s">
        <v>137</v>
      </c>
      <c r="B5" s="78"/>
      <c r="C5" s="77"/>
      <c r="D5" s="77"/>
    </row>
    <row r="6" spans="1:4" ht="5.25" customHeight="1" x14ac:dyDescent="0.25">
      <c r="A6" s="78"/>
      <c r="B6" s="8"/>
      <c r="C6" s="79"/>
      <c r="D6" s="77"/>
    </row>
    <row r="7" spans="1:4" ht="16.5" thickBot="1" x14ac:dyDescent="0.3">
      <c r="A7" s="80"/>
      <c r="B7" s="8"/>
      <c r="C7" s="79"/>
      <c r="D7" s="77"/>
    </row>
    <row r="8" spans="1:4" ht="15.75" customHeight="1" x14ac:dyDescent="0.2">
      <c r="A8" s="327" t="s">
        <v>227</v>
      </c>
      <c r="B8" s="329" t="s">
        <v>228</v>
      </c>
      <c r="C8" s="331" t="s">
        <v>229</v>
      </c>
      <c r="D8" s="321" t="s">
        <v>230</v>
      </c>
    </row>
    <row r="9" spans="1:4" ht="28.5" customHeight="1" thickBot="1" x14ac:dyDescent="0.25">
      <c r="A9" s="328"/>
      <c r="B9" s="330"/>
      <c r="C9" s="332"/>
      <c r="D9" s="322"/>
    </row>
    <row r="10" spans="1:4" ht="16.5" thickBot="1" x14ac:dyDescent="0.25">
      <c r="A10" s="81" t="s">
        <v>231</v>
      </c>
      <c r="B10" s="302">
        <f>VLOOKUP(A5,мкд!S:T,2,FALSE)</f>
        <v>-1393112.62</v>
      </c>
      <c r="C10" s="83"/>
      <c r="D10" s="84"/>
    </row>
    <row r="11" spans="1:4" ht="16.5" hidden="1" thickBot="1" x14ac:dyDescent="0.25">
      <c r="A11" s="85" t="s">
        <v>232</v>
      </c>
      <c r="B11" s="210"/>
      <c r="C11" s="84"/>
      <c r="D11" s="86"/>
    </row>
    <row r="12" spans="1:4" ht="16.5" thickBot="1" x14ac:dyDescent="0.3">
      <c r="A12" s="87" t="s">
        <v>233</v>
      </c>
      <c r="B12" s="217"/>
      <c r="C12" s="89" t="s">
        <v>234</v>
      </c>
      <c r="D12" s="90" t="s">
        <v>234</v>
      </c>
    </row>
    <row r="13" spans="1:4" ht="16.5" hidden="1" thickBot="1" x14ac:dyDescent="0.3">
      <c r="A13" s="91" t="s">
        <v>235</v>
      </c>
      <c r="B13" s="23">
        <v>1467.3</v>
      </c>
      <c r="C13" s="90" t="s">
        <v>234</v>
      </c>
      <c r="D13" s="92" t="s">
        <v>234</v>
      </c>
    </row>
    <row r="14" spans="1:4" ht="16.5" hidden="1" thickBot="1" x14ac:dyDescent="0.3">
      <c r="A14" s="91" t="s">
        <v>236</v>
      </c>
      <c r="B14" s="23">
        <v>40.299999999999997</v>
      </c>
      <c r="C14" s="93"/>
      <c r="D14" s="92"/>
    </row>
    <row r="15" spans="1:4" ht="16.5" hidden="1" thickBot="1" x14ac:dyDescent="0.3">
      <c r="A15" s="91" t="s">
        <v>237</v>
      </c>
      <c r="B15" s="23">
        <f>B13+B14</f>
        <v>1507.6</v>
      </c>
      <c r="C15" s="94"/>
      <c r="D15" s="95"/>
    </row>
    <row r="16" spans="1:4" ht="16.5" hidden="1" thickBot="1" x14ac:dyDescent="0.3">
      <c r="A16" s="91" t="s">
        <v>238</v>
      </c>
      <c r="B16" s="23">
        <f>1165.86+5386.2/3</f>
        <v>2961.2599999999998</v>
      </c>
      <c r="C16" s="96" t="s">
        <v>234</v>
      </c>
      <c r="D16" s="95" t="s">
        <v>234</v>
      </c>
    </row>
    <row r="17" spans="1:7" ht="16.5" hidden="1" thickBot="1" x14ac:dyDescent="0.3">
      <c r="A17" s="91" t="s">
        <v>239</v>
      </c>
      <c r="B17" s="23">
        <v>0</v>
      </c>
      <c r="C17" s="90" t="s">
        <v>234</v>
      </c>
      <c r="D17" s="92" t="s">
        <v>234</v>
      </c>
      <c r="E17" s="77"/>
      <c r="F17" s="77"/>
      <c r="G17" s="77"/>
    </row>
    <row r="18" spans="1:7" ht="16.5" hidden="1" thickBot="1" x14ac:dyDescent="0.3">
      <c r="A18" s="91" t="s">
        <v>240</v>
      </c>
      <c r="B18" s="23">
        <v>677.9</v>
      </c>
      <c r="C18" s="95" t="s">
        <v>234</v>
      </c>
      <c r="D18" s="92" t="s">
        <v>234</v>
      </c>
      <c r="E18" s="77"/>
      <c r="F18" s="77"/>
      <c r="G18" s="77"/>
    </row>
    <row r="19" spans="1:7" ht="16.5" hidden="1" thickBot="1" x14ac:dyDescent="0.3">
      <c r="A19" s="91" t="s">
        <v>241</v>
      </c>
      <c r="B19" s="23">
        <v>0</v>
      </c>
      <c r="C19" s="95" t="s">
        <v>234</v>
      </c>
      <c r="D19" s="92" t="s">
        <v>234</v>
      </c>
      <c r="E19" s="77"/>
      <c r="F19" s="77"/>
      <c r="G19" s="77"/>
    </row>
    <row r="20" spans="1:7" ht="16.5" hidden="1" thickBot="1" x14ac:dyDescent="0.3">
      <c r="A20" s="91" t="s">
        <v>242</v>
      </c>
      <c r="B20" s="23">
        <v>826</v>
      </c>
      <c r="C20" s="95"/>
      <c r="D20" s="92"/>
      <c r="E20" s="77"/>
      <c r="F20" s="77"/>
      <c r="G20" s="77"/>
    </row>
    <row r="21" spans="1:7" ht="16.5" hidden="1" thickBot="1" x14ac:dyDescent="0.3">
      <c r="A21" s="91" t="s">
        <v>243</v>
      </c>
      <c r="B21" s="23">
        <v>0</v>
      </c>
      <c r="C21" s="95" t="s">
        <v>234</v>
      </c>
      <c r="D21" s="92" t="s">
        <v>234</v>
      </c>
      <c r="E21" s="77"/>
      <c r="F21" s="77"/>
      <c r="G21" s="77"/>
    </row>
    <row r="22" spans="1:7" ht="16.5" hidden="1" thickBot="1" x14ac:dyDescent="0.3">
      <c r="A22" s="91" t="s">
        <v>244</v>
      </c>
      <c r="B22" s="23">
        <v>68</v>
      </c>
      <c r="C22" s="93"/>
      <c r="D22" s="92"/>
      <c r="E22" s="77"/>
      <c r="F22" s="77"/>
      <c r="G22" s="77"/>
    </row>
    <row r="23" spans="1:7" ht="15.75" x14ac:dyDescent="0.25">
      <c r="A23" s="91"/>
      <c r="B23" s="23"/>
      <c r="C23" s="94"/>
      <c r="D23" s="95"/>
      <c r="E23" s="77">
        <v>10</v>
      </c>
      <c r="F23" s="77">
        <v>2</v>
      </c>
      <c r="G23" s="77"/>
    </row>
    <row r="24" spans="1:7" ht="15.75" x14ac:dyDescent="0.25">
      <c r="A24" s="97" t="s">
        <v>319</v>
      </c>
      <c r="B24" s="28">
        <f>VLOOKUP(A5,[2]Лист1!M$1:N$65536,2,FALSE)</f>
        <v>327472.95</v>
      </c>
      <c r="C24" s="92"/>
      <c r="D24" s="95"/>
      <c r="E24" s="26">
        <v>18.149999999999999</v>
      </c>
      <c r="F24" s="256">
        <v>20.317109999999996</v>
      </c>
      <c r="G24" s="77"/>
    </row>
    <row r="25" spans="1:7" ht="16.5" thickBot="1" x14ac:dyDescent="0.3">
      <c r="A25" s="97" t="s">
        <v>320</v>
      </c>
      <c r="B25" s="28">
        <f>VLOOKUP(A5,[2]Лист1!M$1:O$65536,3,FALSE)</f>
        <v>249400.92</v>
      </c>
      <c r="C25" s="96"/>
      <c r="D25" s="95"/>
      <c r="E25" s="77"/>
      <c r="F25" s="77"/>
      <c r="G25" s="77"/>
    </row>
    <row r="26" spans="1:7" ht="15.75" x14ac:dyDescent="0.25">
      <c r="A26" s="97" t="s">
        <v>353</v>
      </c>
      <c r="B26" s="28">
        <v>8952.24</v>
      </c>
      <c r="C26" s="90"/>
      <c r="D26" s="92"/>
      <c r="E26" s="77"/>
      <c r="F26" s="77"/>
      <c r="G26" s="77"/>
    </row>
    <row r="27" spans="1:7" ht="16.5" thickBot="1" x14ac:dyDescent="0.3">
      <c r="A27" s="97" t="s">
        <v>354</v>
      </c>
      <c r="B27" s="28">
        <v>0</v>
      </c>
      <c r="C27" s="93"/>
      <c r="D27" s="92"/>
      <c r="E27" s="77"/>
      <c r="F27" s="77"/>
      <c r="G27" s="77"/>
    </row>
    <row r="28" spans="1:7" ht="16.5" thickBot="1" x14ac:dyDescent="0.3">
      <c r="A28" s="97" t="s">
        <v>249</v>
      </c>
      <c r="B28" s="28">
        <v>7459.44</v>
      </c>
      <c r="C28" s="89"/>
      <c r="D28" s="95"/>
      <c r="E28" s="77"/>
      <c r="F28" s="77"/>
      <c r="G28" s="77"/>
    </row>
    <row r="29" spans="1:7" ht="16.5" hidden="1" thickBot="1" x14ac:dyDescent="0.3">
      <c r="A29" s="97" t="s">
        <v>250</v>
      </c>
      <c r="B29" s="28"/>
      <c r="C29" s="98"/>
      <c r="D29" s="92"/>
      <c r="E29" s="77"/>
      <c r="F29" s="77"/>
      <c r="G29" s="77"/>
    </row>
    <row r="30" spans="1:7" ht="15.75" x14ac:dyDescent="0.25">
      <c r="A30" s="99"/>
      <c r="B30" s="23"/>
      <c r="C30" s="94"/>
      <c r="D30" s="95"/>
      <c r="E30" s="77"/>
      <c r="F30" s="77"/>
      <c r="G30" s="77"/>
    </row>
    <row r="31" spans="1:7" ht="15.75" x14ac:dyDescent="0.25">
      <c r="A31" s="100" t="s">
        <v>251</v>
      </c>
      <c r="B31" s="23"/>
      <c r="C31" s="92"/>
      <c r="D31" s="95"/>
      <c r="E31" s="77"/>
      <c r="F31" s="77"/>
      <c r="G31" s="77"/>
    </row>
    <row r="32" spans="1:7" s="103" customFormat="1" ht="31.5" x14ac:dyDescent="0.25">
      <c r="A32" s="101" t="s">
        <v>252</v>
      </c>
      <c r="B32" s="208">
        <f>SUM(B33:B41)</f>
        <v>86097.622376079322</v>
      </c>
      <c r="C32" s="92"/>
      <c r="D32" s="95"/>
      <c r="E32" s="102">
        <f>(B86-B26-B24)/1.2/1.03</f>
        <v>296926.80373259424</v>
      </c>
      <c r="F32" s="102" t="e">
        <f>(#REF!-#REF!-#REF!)/1.2/1.03</f>
        <v>#REF!</v>
      </c>
      <c r="G32" s="102" t="e">
        <f>(#REF!-#REF!-#REF!)/1.2/1.03</f>
        <v>#REF!</v>
      </c>
    </row>
    <row r="33" spans="1:7" ht="16.5" thickBot="1" x14ac:dyDescent="0.3">
      <c r="A33" s="104" t="s">
        <v>253</v>
      </c>
      <c r="B33" s="23">
        <f>8467.87*1.1194</f>
        <v>9478.9336780000012</v>
      </c>
      <c r="C33" s="96"/>
      <c r="D33" s="95">
        <v>17645.169999999998</v>
      </c>
      <c r="E33" s="77"/>
      <c r="F33" s="77"/>
      <c r="G33" s="77"/>
    </row>
    <row r="34" spans="1:7" ht="15.75" hidden="1" x14ac:dyDescent="0.25">
      <c r="A34" s="104" t="s">
        <v>257</v>
      </c>
      <c r="B34" s="23"/>
      <c r="C34" s="90"/>
      <c r="D34" s="92">
        <v>0</v>
      </c>
      <c r="E34" s="77"/>
      <c r="F34" s="77"/>
      <c r="G34" s="77"/>
    </row>
    <row r="35" spans="1:7" ht="15.75" hidden="1" x14ac:dyDescent="0.25">
      <c r="A35" s="104" t="s">
        <v>256</v>
      </c>
      <c r="B35" s="23"/>
      <c r="C35" s="95"/>
      <c r="D35" s="92">
        <v>0</v>
      </c>
      <c r="E35" s="77"/>
      <c r="F35" s="77"/>
      <c r="G35" s="77"/>
    </row>
    <row r="36" spans="1:7" ht="15.75" x14ac:dyDescent="0.25">
      <c r="A36" s="104" t="s">
        <v>255</v>
      </c>
      <c r="B36" s="23">
        <v>71611.898698079327</v>
      </c>
      <c r="C36" s="95" t="s">
        <v>234</v>
      </c>
      <c r="D36" s="92">
        <v>0</v>
      </c>
      <c r="E36" s="77"/>
      <c r="F36" s="77"/>
      <c r="G36" s="77"/>
    </row>
    <row r="37" spans="1:7" ht="16.5" thickBot="1" x14ac:dyDescent="0.3">
      <c r="A37" s="104" t="s">
        <v>257</v>
      </c>
      <c r="B37" s="23">
        <v>5006.79</v>
      </c>
      <c r="C37" s="95"/>
      <c r="D37" s="92">
        <v>0</v>
      </c>
      <c r="E37" s="77"/>
      <c r="F37" s="77"/>
      <c r="G37" s="77"/>
    </row>
    <row r="38" spans="1:7" ht="16.5" hidden="1" thickBot="1" x14ac:dyDescent="0.3">
      <c r="A38" s="104" t="s">
        <v>258</v>
      </c>
      <c r="B38" s="23">
        <v>0</v>
      </c>
      <c r="C38" s="95"/>
      <c r="D38" s="92">
        <v>0</v>
      </c>
      <c r="E38" s="77"/>
      <c r="F38" s="77"/>
      <c r="G38" s="77"/>
    </row>
    <row r="39" spans="1:7" ht="16.5" hidden="1" thickBot="1" x14ac:dyDescent="0.3">
      <c r="A39" s="104" t="s">
        <v>324</v>
      </c>
      <c r="B39" s="23">
        <v>0</v>
      </c>
      <c r="C39" s="95"/>
      <c r="D39" s="92">
        <v>0</v>
      </c>
      <c r="E39" s="77"/>
      <c r="F39" s="77"/>
      <c r="G39" s="77"/>
    </row>
    <row r="40" spans="1:7" ht="16.5" hidden="1" thickBot="1" x14ac:dyDescent="0.3">
      <c r="A40" s="104" t="s">
        <v>342</v>
      </c>
      <c r="B40" s="23"/>
      <c r="C40" s="95"/>
      <c r="D40" s="92"/>
      <c r="E40" s="77"/>
      <c r="F40" s="77"/>
      <c r="G40" s="77"/>
    </row>
    <row r="41" spans="1:7" ht="16.5" hidden="1" thickBot="1" x14ac:dyDescent="0.3">
      <c r="A41" s="104" t="s">
        <v>255</v>
      </c>
      <c r="B41" s="23"/>
      <c r="C41" s="93"/>
      <c r="D41" s="92"/>
      <c r="E41" s="77"/>
      <c r="F41" s="77"/>
      <c r="G41" s="77"/>
    </row>
    <row r="42" spans="1:7" s="103" customFormat="1" ht="48" thickBot="1" x14ac:dyDescent="0.3">
      <c r="A42" s="101" t="s">
        <v>325</v>
      </c>
      <c r="B42" s="208">
        <f>SUM(B43:B45)</f>
        <v>111031.78672118497</v>
      </c>
      <c r="C42" s="89"/>
      <c r="D42" s="95"/>
      <c r="E42" s="102"/>
      <c r="F42" s="102"/>
      <c r="G42" s="102"/>
    </row>
    <row r="43" spans="1:7" ht="15.75" x14ac:dyDescent="0.25">
      <c r="A43" s="104" t="s">
        <v>262</v>
      </c>
      <c r="B43" s="23">
        <v>11531.489999999998</v>
      </c>
      <c r="C43" s="98"/>
      <c r="D43" s="108"/>
      <c r="E43" s="77"/>
      <c r="F43" s="77"/>
      <c r="G43" s="77"/>
    </row>
    <row r="44" spans="1:7" ht="15.75" x14ac:dyDescent="0.25">
      <c r="A44" s="104" t="s">
        <v>263</v>
      </c>
      <c r="B44" s="23">
        <v>90466.381301920701</v>
      </c>
      <c r="C44" s="93"/>
      <c r="D44" s="108"/>
      <c r="E44" s="77"/>
      <c r="F44" s="77"/>
      <c r="G44" s="77"/>
    </row>
    <row r="45" spans="1:7" ht="16.5" thickBot="1" x14ac:dyDescent="0.3">
      <c r="A45" s="109" t="s">
        <v>264</v>
      </c>
      <c r="B45" s="23">
        <f>('[3]34тарифы'!D163*B15+71.8)*1.1194</f>
        <v>9033.91541926426</v>
      </c>
      <c r="C45" s="93"/>
      <c r="D45" s="108"/>
      <c r="E45" s="77"/>
      <c r="F45" s="77"/>
      <c r="G45" s="77"/>
    </row>
    <row r="46" spans="1:7" s="79" customFormat="1" ht="16.5" thickBot="1" x14ac:dyDescent="0.3">
      <c r="A46" s="101" t="s">
        <v>265</v>
      </c>
      <c r="B46" s="208">
        <f>SUM(B47:B65)</f>
        <v>37362.31</v>
      </c>
      <c r="C46" s="89"/>
      <c r="D46" s="95"/>
    </row>
    <row r="47" spans="1:7" ht="15.75" x14ac:dyDescent="0.25">
      <c r="A47" s="104" t="s">
        <v>326</v>
      </c>
      <c r="B47" s="283">
        <v>2847.12</v>
      </c>
      <c r="C47" s="90"/>
      <c r="D47" s="92"/>
      <c r="E47" s="77" t="s">
        <v>267</v>
      </c>
      <c r="F47" s="77"/>
      <c r="G47" s="77"/>
    </row>
    <row r="48" spans="1:7" ht="15.75" x14ac:dyDescent="0.25">
      <c r="A48" s="104" t="s">
        <v>317</v>
      </c>
      <c r="B48" s="283">
        <v>3457.26</v>
      </c>
      <c r="C48" s="95"/>
      <c r="D48" s="92"/>
      <c r="E48" s="77" t="s">
        <v>269</v>
      </c>
      <c r="F48" s="77"/>
      <c r="G48" s="77"/>
    </row>
    <row r="49" spans="1:5" ht="15.75" x14ac:dyDescent="0.25">
      <c r="A49" s="110" t="s">
        <v>282</v>
      </c>
      <c r="B49" s="23">
        <v>150.66</v>
      </c>
      <c r="C49" s="95"/>
      <c r="D49" s="92"/>
      <c r="E49" s="77"/>
    </row>
    <row r="50" spans="1:5" ht="15.75" hidden="1" x14ac:dyDescent="0.25">
      <c r="A50" s="110" t="s">
        <v>271</v>
      </c>
      <c r="B50" s="23">
        <v>0</v>
      </c>
      <c r="C50" s="95"/>
      <c r="D50" s="92">
        <v>4190</v>
      </c>
      <c r="E50" s="77"/>
    </row>
    <row r="51" spans="1:5" ht="15.75" hidden="1" x14ac:dyDescent="0.25">
      <c r="A51" s="110" t="s">
        <v>272</v>
      </c>
      <c r="B51" s="23">
        <v>0</v>
      </c>
      <c r="C51" s="95"/>
      <c r="D51" s="92"/>
      <c r="E51" s="77"/>
    </row>
    <row r="52" spans="1:5" ht="15.75" hidden="1" x14ac:dyDescent="0.25">
      <c r="A52" s="110" t="s">
        <v>273</v>
      </c>
      <c r="B52" s="23">
        <f>B21*'[3]34тарифы'!D177</f>
        <v>0</v>
      </c>
      <c r="C52" s="95"/>
      <c r="D52" s="92">
        <v>105.14</v>
      </c>
      <c r="E52" s="77"/>
    </row>
    <row r="53" spans="1:5" ht="15.75" hidden="1" x14ac:dyDescent="0.25">
      <c r="A53" s="110" t="s">
        <v>274</v>
      </c>
      <c r="B53" s="23">
        <v>0</v>
      </c>
      <c r="C53" s="95">
        <v>0</v>
      </c>
      <c r="D53" s="92">
        <v>522.99</v>
      </c>
      <c r="E53" s="77"/>
    </row>
    <row r="54" spans="1:5" ht="15.75" hidden="1" x14ac:dyDescent="0.25">
      <c r="A54" s="110" t="s">
        <v>275</v>
      </c>
      <c r="B54" s="23">
        <v>0</v>
      </c>
      <c r="C54" s="95">
        <v>0</v>
      </c>
      <c r="D54" s="111">
        <v>695.13</v>
      </c>
      <c r="E54" s="77"/>
    </row>
    <row r="55" spans="1:5" ht="15.75" hidden="1" x14ac:dyDescent="0.25">
      <c r="A55" s="110" t="s">
        <v>276</v>
      </c>
      <c r="B55" s="23">
        <v>0</v>
      </c>
      <c r="C55" s="95"/>
      <c r="D55" s="111"/>
      <c r="E55" s="77"/>
    </row>
    <row r="56" spans="1:5" ht="15.75" hidden="1" x14ac:dyDescent="0.25">
      <c r="A56" s="110" t="s">
        <v>277</v>
      </c>
      <c r="B56" s="23">
        <v>0</v>
      </c>
      <c r="C56" s="95">
        <v>0</v>
      </c>
      <c r="D56" s="92">
        <f>10695.76/1.18</f>
        <v>9064.203389830509</v>
      </c>
      <c r="E56" s="77"/>
    </row>
    <row r="57" spans="1:5" ht="15.75" hidden="1" x14ac:dyDescent="0.25">
      <c r="A57" s="110" t="s">
        <v>314</v>
      </c>
      <c r="B57" s="23">
        <v>0</v>
      </c>
      <c r="C57" s="95">
        <v>0</v>
      </c>
      <c r="D57" s="92">
        <f>2300/1.18</f>
        <v>1949.1525423728815</v>
      </c>
      <c r="E57" s="77"/>
    </row>
    <row r="58" spans="1:5" ht="15.75" x14ac:dyDescent="0.25">
      <c r="A58" s="110" t="s">
        <v>540</v>
      </c>
      <c r="B58" s="283">
        <v>17979.3</v>
      </c>
      <c r="C58" s="93">
        <v>0</v>
      </c>
      <c r="D58" s="92">
        <v>0</v>
      </c>
      <c r="E58" s="77"/>
    </row>
    <row r="59" spans="1:5" ht="16.5" hidden="1" thickBot="1" x14ac:dyDescent="0.3">
      <c r="A59" s="110" t="s">
        <v>279</v>
      </c>
      <c r="B59" s="23">
        <f>B13*'[3]34тарифы'!D184</f>
        <v>0</v>
      </c>
      <c r="C59" s="89"/>
      <c r="D59" s="95"/>
      <c r="E59" s="77"/>
    </row>
    <row r="60" spans="1:5" ht="15.75" hidden="1" x14ac:dyDescent="0.25">
      <c r="A60" s="104" t="s">
        <v>280</v>
      </c>
      <c r="B60" s="23">
        <v>0</v>
      </c>
      <c r="C60" s="90"/>
      <c r="D60" s="92"/>
      <c r="E60" s="77"/>
    </row>
    <row r="61" spans="1:5" ht="15.75" hidden="1" x14ac:dyDescent="0.25">
      <c r="A61" s="104" t="s">
        <v>281</v>
      </c>
      <c r="B61" s="23">
        <v>0</v>
      </c>
      <c r="C61" s="95"/>
      <c r="D61" s="92">
        <v>0</v>
      </c>
      <c r="E61" s="77"/>
    </row>
    <row r="62" spans="1:5" ht="15.75" hidden="1" x14ac:dyDescent="0.25">
      <c r="A62" s="104" t="s">
        <v>340</v>
      </c>
      <c r="B62" s="23">
        <v>0</v>
      </c>
      <c r="C62" s="95"/>
      <c r="D62" s="92">
        <v>0</v>
      </c>
      <c r="E62" s="77"/>
    </row>
    <row r="63" spans="1:5" ht="16.5" thickBot="1" x14ac:dyDescent="0.3">
      <c r="A63" s="104" t="s">
        <v>341</v>
      </c>
      <c r="B63" s="229">
        <v>12927.97</v>
      </c>
      <c r="C63" s="113">
        <v>1</v>
      </c>
      <c r="D63" s="92">
        <v>0</v>
      </c>
      <c r="E63" s="77"/>
    </row>
    <row r="64" spans="1:5" ht="16.5" hidden="1" thickBot="1" x14ac:dyDescent="0.3">
      <c r="A64" s="104" t="s">
        <v>284</v>
      </c>
      <c r="B64" s="229">
        <v>0</v>
      </c>
      <c r="C64" s="114">
        <v>35</v>
      </c>
      <c r="D64" s="95">
        <v>2</v>
      </c>
      <c r="E64" s="77">
        <v>1</v>
      </c>
    </row>
    <row r="65" spans="1:4" s="79" customFormat="1" ht="16.5" hidden="1" thickBot="1" x14ac:dyDescent="0.3">
      <c r="A65" s="104" t="s">
        <v>285</v>
      </c>
      <c r="B65" s="229">
        <v>0</v>
      </c>
      <c r="C65" s="115">
        <v>36</v>
      </c>
      <c r="D65" s="108">
        <f>650/1.18</f>
        <v>550.84745762711873</v>
      </c>
    </row>
    <row r="66" spans="1:4" s="79" customFormat="1" ht="16.5" thickBot="1" x14ac:dyDescent="0.3">
      <c r="A66" s="116" t="s">
        <v>286</v>
      </c>
      <c r="B66" s="208">
        <f>SUM(B67:B74)</f>
        <v>186337.95516373811</v>
      </c>
      <c r="C66" s="89"/>
      <c r="D66" s="93"/>
    </row>
    <row r="67" spans="1:4" ht="16.5" hidden="1" thickBot="1" x14ac:dyDescent="0.3">
      <c r="A67" s="104" t="s">
        <v>287</v>
      </c>
      <c r="B67" s="23">
        <v>0</v>
      </c>
      <c r="C67" s="98"/>
      <c r="D67" s="108"/>
    </row>
    <row r="68" spans="1:4" ht="16.5" thickBot="1" x14ac:dyDescent="0.3">
      <c r="A68" s="104" t="s">
        <v>288</v>
      </c>
      <c r="B68" s="23">
        <f>106935*1.04*1.1194</f>
        <v>124491.16056</v>
      </c>
      <c r="C68" s="89"/>
      <c r="D68" s="93"/>
    </row>
    <row r="69" spans="1:4" ht="15.75" hidden="1" x14ac:dyDescent="0.25">
      <c r="A69" s="104" t="s">
        <v>289</v>
      </c>
      <c r="B69" s="23">
        <v>0</v>
      </c>
      <c r="C69" s="98"/>
      <c r="D69" s="108"/>
    </row>
    <row r="70" spans="1:4" ht="16.5" thickBot="1" x14ac:dyDescent="0.3">
      <c r="A70" s="109" t="s">
        <v>290</v>
      </c>
      <c r="B70" s="23">
        <f>'[3]34тарифы'!D164*B13*1.1194</f>
        <v>1810.8056344897027</v>
      </c>
      <c r="C70" s="93"/>
      <c r="D70" s="108"/>
    </row>
    <row r="71" spans="1:4" ht="15.75" x14ac:dyDescent="0.25">
      <c r="A71" s="109" t="s">
        <v>291</v>
      </c>
      <c r="B71" s="23">
        <f>VLOOKUP(A71,[2]Лист1!S$1:T$65536,2,FALSE)*B15</f>
        <v>6972.5065279861346</v>
      </c>
      <c r="C71" s="117"/>
      <c r="D71" s="93"/>
    </row>
    <row r="72" spans="1:4" ht="15.75" x14ac:dyDescent="0.25">
      <c r="A72" s="109" t="s">
        <v>292</v>
      </c>
      <c r="B72" s="23">
        <f>VLOOKUP(A72,[2]Лист1!S$1:T$65536,2,FALSE)*B15</f>
        <v>24339.767993262256</v>
      </c>
      <c r="C72" s="108"/>
      <c r="D72" s="93"/>
    </row>
    <row r="73" spans="1:4" ht="15.75" x14ac:dyDescent="0.25">
      <c r="A73" s="41" t="s">
        <v>293</v>
      </c>
      <c r="B73" s="23">
        <f>2612*1.04*1.1194</f>
        <v>3040.8277119999998</v>
      </c>
      <c r="C73" s="108"/>
      <c r="D73" s="93"/>
    </row>
    <row r="74" spans="1:4" ht="15.75" x14ac:dyDescent="0.25">
      <c r="A74" s="109" t="s">
        <v>294</v>
      </c>
      <c r="B74" s="23">
        <f>22061*1.04*1.1194</f>
        <v>25682.886736</v>
      </c>
      <c r="C74" s="108"/>
      <c r="D74" s="93"/>
    </row>
    <row r="75" spans="1:4" ht="47.25" x14ac:dyDescent="0.25">
      <c r="A75" s="118" t="s">
        <v>328</v>
      </c>
      <c r="B75" s="208">
        <f>SUM(B76:B76)</f>
        <v>100385.732304</v>
      </c>
      <c r="C75" s="108"/>
      <c r="D75" s="93"/>
    </row>
    <row r="76" spans="1:4" ht="15.75" x14ac:dyDescent="0.25">
      <c r="A76" s="109" t="s">
        <v>296</v>
      </c>
      <c r="B76" s="23">
        <f>86229*1.04*1.1194</f>
        <v>100385.732304</v>
      </c>
      <c r="C76" s="108"/>
      <c r="D76" s="93"/>
    </row>
    <row r="77" spans="1:4" s="79" customFormat="1" ht="15.75" x14ac:dyDescent="0.25">
      <c r="A77" s="116" t="s">
        <v>297</v>
      </c>
      <c r="B77" s="208">
        <f>SUM(B78:B81)</f>
        <v>47900.06221613552</v>
      </c>
      <c r="C77" s="108"/>
      <c r="D77" s="93"/>
    </row>
    <row r="78" spans="1:4" ht="32.25" thickBot="1" x14ac:dyDescent="0.3">
      <c r="A78" s="119" t="s">
        <v>329</v>
      </c>
      <c r="B78" s="23">
        <f>'[3]34тарифы'!D170*B15*1.1194</f>
        <v>36364.801292877426</v>
      </c>
      <c r="C78" s="96"/>
      <c r="D78" s="93"/>
    </row>
    <row r="79" spans="1:4" ht="16.5" thickBot="1" x14ac:dyDescent="0.3">
      <c r="A79" s="51" t="s">
        <v>299</v>
      </c>
      <c r="B79" s="23">
        <f>(B26/1.2)*30%</f>
        <v>2238.06</v>
      </c>
      <c r="C79" s="98"/>
      <c r="D79" s="108"/>
    </row>
    <row r="80" spans="1:4" ht="15.75" x14ac:dyDescent="0.25">
      <c r="A80" s="120" t="s">
        <v>330</v>
      </c>
      <c r="B80" s="23">
        <f>3108+2965.51</f>
        <v>6073.51</v>
      </c>
      <c r="C80" s="117"/>
      <c r="D80" s="93"/>
    </row>
    <row r="81" spans="1:4" ht="15.75" x14ac:dyDescent="0.25">
      <c r="A81" s="120" t="s">
        <v>331</v>
      </c>
      <c r="B81" s="23">
        <f>'[3]34тарифы'!D173*B13*1.1194</f>
        <v>3223.6909232580929</v>
      </c>
      <c r="C81" s="108"/>
      <c r="D81" s="93"/>
    </row>
    <row r="82" spans="1:4" ht="15.75" x14ac:dyDescent="0.25">
      <c r="A82" s="121" t="s">
        <v>302</v>
      </c>
      <c r="B82" s="28">
        <f>B32+B42+B46+B66+B75+B77</f>
        <v>569115.46878113796</v>
      </c>
      <c r="C82" s="108"/>
      <c r="D82" s="93"/>
    </row>
    <row r="83" spans="1:4" ht="15.75" x14ac:dyDescent="0.25">
      <c r="A83" s="122" t="s">
        <v>303</v>
      </c>
      <c r="B83" s="23">
        <f>B82*0.03</f>
        <v>17073.464063434138</v>
      </c>
      <c r="C83" s="108"/>
      <c r="D83" s="93"/>
    </row>
    <row r="84" spans="1:4" s="103" customFormat="1" ht="15.75" x14ac:dyDescent="0.25">
      <c r="A84" s="123" t="s">
        <v>304</v>
      </c>
      <c r="B84" s="208">
        <f>B82+B83</f>
        <v>586188.93284457212</v>
      </c>
      <c r="C84" s="108"/>
      <c r="D84" s="93"/>
    </row>
    <row r="85" spans="1:4" ht="16.5" thickBot="1" x14ac:dyDescent="0.3">
      <c r="A85" s="124" t="s">
        <v>305</v>
      </c>
      <c r="B85" s="240">
        <f>B84*0.2</f>
        <v>117237.78656891442</v>
      </c>
      <c r="C85" s="108"/>
      <c r="D85" s="93"/>
    </row>
    <row r="86" spans="1:4" s="79" customFormat="1" ht="16.5" thickBot="1" x14ac:dyDescent="0.3">
      <c r="A86" s="125" t="s">
        <v>306</v>
      </c>
      <c r="B86" s="66">
        <f>B84+B85</f>
        <v>703426.71941348654</v>
      </c>
      <c r="C86" s="89"/>
      <c r="D86" s="126"/>
    </row>
    <row r="87" spans="1:4" s="79" customFormat="1" ht="16.5" thickBot="1" x14ac:dyDescent="0.3">
      <c r="A87" s="127" t="s">
        <v>307</v>
      </c>
      <c r="B87" s="296">
        <f>B10+B24+B26+B28+B29-B86</f>
        <v>-1752654.7094134868</v>
      </c>
      <c r="C87" s="128"/>
      <c r="D87" s="129"/>
    </row>
    <row r="88" spans="1:4" s="79" customFormat="1" ht="16.5" thickBot="1" x14ac:dyDescent="0.3">
      <c r="A88" s="130" t="s">
        <v>308</v>
      </c>
      <c r="B88" s="66">
        <f>B10+B25+B27+B28+B29-B86</f>
        <v>-1839678.9794134868</v>
      </c>
      <c r="C88" s="131"/>
      <c r="D88" s="129"/>
    </row>
    <row r="89" spans="1:4" s="79" customFormat="1" ht="16.5" hidden="1" thickBot="1" x14ac:dyDescent="0.3">
      <c r="A89" s="132" t="s">
        <v>309</v>
      </c>
      <c r="B89" s="66">
        <f>B11+B24-B25</f>
        <v>78072.03</v>
      </c>
      <c r="C89" s="129"/>
      <c r="D89" s="129"/>
    </row>
    <row r="90" spans="1:4" s="79" customFormat="1" ht="15.75" x14ac:dyDescent="0.25">
      <c r="A90" s="133"/>
      <c r="B90" s="242"/>
      <c r="C90" s="129"/>
      <c r="D90" s="129"/>
    </row>
    <row r="91" spans="1:4" ht="15.75" x14ac:dyDescent="0.25">
      <c r="A91" s="134"/>
      <c r="B91" s="3"/>
      <c r="C91" s="77"/>
      <c r="D91" s="77"/>
    </row>
    <row r="92" spans="1:4" ht="15.75" x14ac:dyDescent="0.25">
      <c r="A92" s="323" t="s">
        <v>332</v>
      </c>
      <c r="B92" s="323"/>
      <c r="C92" s="77"/>
      <c r="D92" s="77"/>
    </row>
    <row r="93" spans="1:4" ht="15.75" x14ac:dyDescent="0.25">
      <c r="A93" s="134"/>
      <c r="B93" s="3"/>
      <c r="C93" s="77"/>
      <c r="D93" s="77"/>
    </row>
    <row r="94" spans="1:4" ht="15.75" hidden="1" x14ac:dyDescent="0.25">
      <c r="A94" s="324" t="s">
        <v>333</v>
      </c>
      <c r="B94" s="324"/>
      <c r="C94" s="135"/>
      <c r="D94" s="77"/>
    </row>
    <row r="95" spans="1:4" ht="15.75" x14ac:dyDescent="0.25">
      <c r="A95" s="77"/>
      <c r="B95" s="3"/>
      <c r="C95" s="77"/>
      <c r="D95" s="77"/>
    </row>
  </sheetData>
  <autoFilter ref="A31:G89" xr:uid="{00000000-0009-0000-0000-00002C000000}">
    <filterColumn colId="1">
      <filters>
        <filter val="-1 393 112,62"/>
        <filter val="-1 480 136,89"/>
        <filter val="1 810,81"/>
        <filter val="100 385,73"/>
        <filter val="11 531,49"/>
        <filter val="111 031,79"/>
        <filter val="114 918,71"/>
        <filter val="124 491,16"/>
        <filter val="14 955,82"/>
        <filter val="16 735,73"/>
        <filter val="186 337,96"/>
        <filter val="2 238,06"/>
        <filter val="2 847,12"/>
        <filter val="24 339,77"/>
        <filter val="25 219,60"/>
        <filter val="25 682,89"/>
        <filter val="3 040,83"/>
        <filter val="3 223,69"/>
        <filter val="3 457,26"/>
        <filter val="3 522,40"/>
        <filter val="36 364,80"/>
        <filter val="437,00"/>
        <filter val="48 785,13"/>
        <filter val="5 006,79"/>
        <filter val="557 857,83"/>
        <filter val="574 593,56"/>
        <filter val="6 958,58"/>
        <filter val="6 972,51"/>
        <filter val="689 512,28"/>
        <filter val="71 611,90"/>
        <filter val="78 072,03"/>
        <filter val="86 097,62"/>
        <filter val="9 033,92"/>
        <filter val="9 478,93"/>
        <filter val="90 466,38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80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filterMode="1">
    <pageSetUpPr fitToPage="1"/>
  </sheetPr>
  <dimension ref="A1:G95"/>
  <sheetViews>
    <sheetView view="pageBreakPreview" topLeftCell="A30" zoomScale="80" zoomScaleNormal="100" zoomScaleSheetLayoutView="80" workbookViewId="0">
      <selection activeCell="B81" sqref="B81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25" t="s">
        <v>224</v>
      </c>
      <c r="B1" s="325"/>
      <c r="C1" s="77"/>
      <c r="D1" s="77"/>
    </row>
    <row r="2" spans="1:4" ht="16.5" x14ac:dyDescent="0.25">
      <c r="A2" s="326" t="s">
        <v>225</v>
      </c>
      <c r="B2" s="326"/>
      <c r="C2" s="77"/>
      <c r="D2" s="77"/>
    </row>
    <row r="3" spans="1:4" ht="16.5" x14ac:dyDescent="0.25">
      <c r="A3" s="326" t="s">
        <v>226</v>
      </c>
      <c r="B3" s="326"/>
      <c r="C3" s="77"/>
      <c r="D3" s="77"/>
    </row>
    <row r="4" spans="1:4" ht="15.75" x14ac:dyDescent="0.25">
      <c r="A4" s="78" t="s">
        <v>516</v>
      </c>
      <c r="B4" s="78"/>
      <c r="C4" s="77"/>
      <c r="D4" s="77"/>
    </row>
    <row r="5" spans="1:4" ht="15.75" x14ac:dyDescent="0.25">
      <c r="A5" s="78" t="s">
        <v>138</v>
      </c>
      <c r="B5" s="78"/>
      <c r="C5" s="77"/>
      <c r="D5" s="77"/>
    </row>
    <row r="6" spans="1:4" ht="5.25" customHeight="1" x14ac:dyDescent="0.25">
      <c r="A6" s="78"/>
      <c r="B6" s="8"/>
      <c r="C6" s="79"/>
      <c r="D6" s="77"/>
    </row>
    <row r="7" spans="1:4" ht="16.5" thickBot="1" x14ac:dyDescent="0.3">
      <c r="A7" s="80"/>
      <c r="B7" s="8"/>
      <c r="C7" s="79"/>
      <c r="D7" s="77"/>
    </row>
    <row r="8" spans="1:4" ht="15.75" customHeight="1" x14ac:dyDescent="0.2">
      <c r="A8" s="327" t="s">
        <v>227</v>
      </c>
      <c r="B8" s="329" t="s">
        <v>228</v>
      </c>
      <c r="C8" s="331" t="s">
        <v>229</v>
      </c>
      <c r="D8" s="321" t="s">
        <v>230</v>
      </c>
    </row>
    <row r="9" spans="1:4" ht="28.5" customHeight="1" thickBot="1" x14ac:dyDescent="0.25">
      <c r="A9" s="328"/>
      <c r="B9" s="330"/>
      <c r="C9" s="332"/>
      <c r="D9" s="322"/>
    </row>
    <row r="10" spans="1:4" ht="16.5" thickBot="1" x14ac:dyDescent="0.25">
      <c r="A10" s="81" t="s">
        <v>231</v>
      </c>
      <c r="B10" s="302">
        <f>VLOOKUP(A5,мкд!S:T,2,FALSE)</f>
        <v>-741564.71</v>
      </c>
      <c r="C10" s="83"/>
      <c r="D10" s="84"/>
    </row>
    <row r="11" spans="1:4" ht="16.5" hidden="1" thickBot="1" x14ac:dyDescent="0.25">
      <c r="A11" s="85" t="s">
        <v>232</v>
      </c>
      <c r="B11" s="210"/>
      <c r="C11" s="84"/>
      <c r="D11" s="86"/>
    </row>
    <row r="12" spans="1:4" ht="16.5" thickBot="1" x14ac:dyDescent="0.3">
      <c r="A12" s="87" t="s">
        <v>233</v>
      </c>
      <c r="B12" s="217"/>
      <c r="C12" s="89" t="s">
        <v>234</v>
      </c>
      <c r="D12" s="90" t="s">
        <v>234</v>
      </c>
    </row>
    <row r="13" spans="1:4" ht="16.5" hidden="1" thickBot="1" x14ac:dyDescent="0.3">
      <c r="A13" s="91" t="s">
        <v>235</v>
      </c>
      <c r="B13" s="23">
        <v>1533.1</v>
      </c>
      <c r="C13" s="90" t="s">
        <v>234</v>
      </c>
      <c r="D13" s="92" t="s">
        <v>234</v>
      </c>
    </row>
    <row r="14" spans="1:4" ht="16.5" hidden="1" thickBot="1" x14ac:dyDescent="0.3">
      <c r="A14" s="91" t="s">
        <v>236</v>
      </c>
      <c r="B14" s="23">
        <v>0</v>
      </c>
      <c r="C14" s="93"/>
      <c r="D14" s="92"/>
    </row>
    <row r="15" spans="1:4" ht="16.5" hidden="1" thickBot="1" x14ac:dyDescent="0.3">
      <c r="A15" s="91" t="s">
        <v>237</v>
      </c>
      <c r="B15" s="23">
        <f>B13+B14</f>
        <v>1533.1</v>
      </c>
      <c r="C15" s="94"/>
      <c r="D15" s="95"/>
    </row>
    <row r="16" spans="1:4" ht="16.5" hidden="1" thickBot="1" x14ac:dyDescent="0.3">
      <c r="A16" s="91" t="s">
        <v>238</v>
      </c>
      <c r="B16" s="23">
        <f>866.15+1096.5/3</f>
        <v>1231.6500000000001</v>
      </c>
      <c r="C16" s="96" t="s">
        <v>234</v>
      </c>
      <c r="D16" s="95" t="s">
        <v>234</v>
      </c>
    </row>
    <row r="17" spans="1:7" ht="16.5" hidden="1" thickBot="1" x14ac:dyDescent="0.3">
      <c r="A17" s="91" t="s">
        <v>239</v>
      </c>
      <c r="B17" s="23">
        <v>0</v>
      </c>
      <c r="C17" s="90" t="s">
        <v>234</v>
      </c>
      <c r="D17" s="92" t="s">
        <v>234</v>
      </c>
      <c r="E17" s="77"/>
      <c r="F17" s="77"/>
      <c r="G17" s="77"/>
    </row>
    <row r="18" spans="1:7" ht="16.5" hidden="1" thickBot="1" x14ac:dyDescent="0.3">
      <c r="A18" s="91" t="s">
        <v>240</v>
      </c>
      <c r="B18" s="23">
        <v>542.6</v>
      </c>
      <c r="C18" s="95" t="s">
        <v>234</v>
      </c>
      <c r="D18" s="92" t="s">
        <v>234</v>
      </c>
      <c r="E18" s="77"/>
      <c r="F18" s="77"/>
      <c r="G18" s="77"/>
    </row>
    <row r="19" spans="1:7" ht="16.5" hidden="1" thickBot="1" x14ac:dyDescent="0.3">
      <c r="A19" s="91" t="s">
        <v>241</v>
      </c>
      <c r="B19" s="23">
        <v>0</v>
      </c>
      <c r="C19" s="95" t="s">
        <v>234</v>
      </c>
      <c r="D19" s="92" t="s">
        <v>234</v>
      </c>
      <c r="E19" s="77"/>
      <c r="F19" s="77"/>
      <c r="G19" s="77"/>
    </row>
    <row r="20" spans="1:7" ht="16.5" hidden="1" thickBot="1" x14ac:dyDescent="0.3">
      <c r="A20" s="91" t="s">
        <v>242</v>
      </c>
      <c r="B20" s="23">
        <v>698.5</v>
      </c>
      <c r="C20" s="95"/>
      <c r="D20" s="92"/>
      <c r="E20" s="77"/>
      <c r="F20" s="77"/>
      <c r="G20" s="77"/>
    </row>
    <row r="21" spans="1:7" ht="16.5" hidden="1" thickBot="1" x14ac:dyDescent="0.3">
      <c r="A21" s="91" t="s">
        <v>243</v>
      </c>
      <c r="B21" s="23">
        <v>0</v>
      </c>
      <c r="C21" s="95" t="s">
        <v>234</v>
      </c>
      <c r="D21" s="92" t="s">
        <v>234</v>
      </c>
      <c r="E21" s="77"/>
      <c r="F21" s="77"/>
      <c r="G21" s="77"/>
    </row>
    <row r="22" spans="1:7" ht="16.5" hidden="1" thickBot="1" x14ac:dyDescent="0.3">
      <c r="A22" s="91" t="s">
        <v>244</v>
      </c>
      <c r="B22" s="23">
        <v>95</v>
      </c>
      <c r="C22" s="93"/>
      <c r="D22" s="92"/>
      <c r="E22" s="77"/>
      <c r="F22" s="77"/>
      <c r="G22" s="77"/>
    </row>
    <row r="23" spans="1:7" ht="15.75" x14ac:dyDescent="0.25">
      <c r="A23" s="91"/>
      <c r="B23" s="23"/>
      <c r="C23" s="94"/>
      <c r="D23" s="95"/>
      <c r="E23" s="77">
        <v>10</v>
      </c>
      <c r="F23" s="77">
        <v>2</v>
      </c>
      <c r="G23" s="77"/>
    </row>
    <row r="24" spans="1:7" ht="15.75" x14ac:dyDescent="0.25">
      <c r="A24" s="97" t="s">
        <v>319</v>
      </c>
      <c r="B24" s="28">
        <f>VLOOKUP(A5,[2]Лист1!M$1:N$65536,2,FALSE)</f>
        <v>223946.38</v>
      </c>
      <c r="C24" s="92"/>
      <c r="D24" s="95"/>
      <c r="E24" s="26">
        <v>11.94</v>
      </c>
      <c r="F24" s="256">
        <v>13.365635999999999</v>
      </c>
      <c r="G24" s="77"/>
    </row>
    <row r="25" spans="1:7" ht="16.5" thickBot="1" x14ac:dyDescent="0.3">
      <c r="A25" s="97" t="s">
        <v>320</v>
      </c>
      <c r="B25" s="28">
        <f>VLOOKUP(A5,[2]Лист1!M$1:O$65536,3,FALSE)</f>
        <v>195151.26</v>
      </c>
      <c r="C25" s="96"/>
      <c r="D25" s="95"/>
      <c r="E25" s="77"/>
      <c r="F25" s="77"/>
      <c r="G25" s="77"/>
    </row>
    <row r="26" spans="1:7" ht="15.75" x14ac:dyDescent="0.25">
      <c r="A26" s="97" t="s">
        <v>321</v>
      </c>
      <c r="B26" s="28"/>
      <c r="C26" s="90"/>
      <c r="D26" s="92"/>
      <c r="E26" s="77"/>
      <c r="F26" s="77"/>
      <c r="G26" s="77"/>
    </row>
    <row r="27" spans="1:7" ht="16.5" thickBot="1" x14ac:dyDescent="0.3">
      <c r="A27" s="97" t="s">
        <v>248</v>
      </c>
      <c r="B27" s="28">
        <f>B26</f>
        <v>0</v>
      </c>
      <c r="C27" s="93"/>
      <c r="D27" s="92"/>
      <c r="E27" s="77"/>
      <c r="F27" s="77"/>
      <c r="G27" s="77"/>
    </row>
    <row r="28" spans="1:7" ht="16.5" thickBot="1" x14ac:dyDescent="0.3">
      <c r="A28" s="97" t="s">
        <v>249</v>
      </c>
      <c r="B28" s="28">
        <v>5781.36</v>
      </c>
      <c r="C28" s="89"/>
      <c r="D28" s="95"/>
      <c r="E28" s="77"/>
      <c r="F28" s="77"/>
      <c r="G28" s="77"/>
    </row>
    <row r="29" spans="1:7" ht="16.5" hidden="1" thickBot="1" x14ac:dyDescent="0.3">
      <c r="A29" s="97" t="s">
        <v>250</v>
      </c>
      <c r="B29" s="28"/>
      <c r="C29" s="98"/>
      <c r="D29" s="92"/>
      <c r="E29" s="77"/>
      <c r="F29" s="77"/>
      <c r="G29" s="77"/>
    </row>
    <row r="30" spans="1:7" ht="15.75" x14ac:dyDescent="0.25">
      <c r="A30" s="99"/>
      <c r="B30" s="23"/>
      <c r="C30" s="94"/>
      <c r="D30" s="95"/>
      <c r="E30" s="77"/>
      <c r="F30" s="77"/>
      <c r="G30" s="77"/>
    </row>
    <row r="31" spans="1:7" ht="15.75" x14ac:dyDescent="0.25">
      <c r="A31" s="100" t="s">
        <v>251</v>
      </c>
      <c r="B31" s="23"/>
      <c r="C31" s="92"/>
      <c r="D31" s="95"/>
      <c r="E31" s="77"/>
      <c r="F31" s="77"/>
      <c r="G31" s="77"/>
    </row>
    <row r="32" spans="1:7" s="103" customFormat="1" ht="31.5" x14ac:dyDescent="0.25">
      <c r="A32" s="101" t="s">
        <v>252</v>
      </c>
      <c r="B32" s="208">
        <f>SUM(B33:B41)</f>
        <v>7806.7627640000001</v>
      </c>
      <c r="C32" s="92"/>
      <c r="D32" s="95"/>
      <c r="E32" s="102">
        <f>(B86-B26-B24)/1.2/1.03</f>
        <v>81552.39849654393</v>
      </c>
      <c r="F32" s="102" t="e">
        <f>(#REF!-#REF!-#REF!)/1.2/1.03</f>
        <v>#REF!</v>
      </c>
      <c r="G32" s="102" t="e">
        <f>(#REF!-#REF!-#REF!)/1.2/1.03</f>
        <v>#REF!</v>
      </c>
    </row>
    <row r="33" spans="1:7" ht="16.5" thickBot="1" x14ac:dyDescent="0.3">
      <c r="A33" s="104" t="s">
        <v>253</v>
      </c>
      <c r="B33" s="23">
        <f>6974.06*1.1194</f>
        <v>7806.7627640000001</v>
      </c>
      <c r="C33" s="96"/>
      <c r="D33" s="95">
        <v>10572.04</v>
      </c>
      <c r="E33" s="77"/>
      <c r="F33" s="77"/>
      <c r="G33" s="77"/>
    </row>
    <row r="34" spans="1:7" ht="16.5" hidden="1" thickBot="1" x14ac:dyDescent="0.3">
      <c r="A34" s="104" t="s">
        <v>322</v>
      </c>
      <c r="B34" s="23"/>
      <c r="C34" s="90"/>
      <c r="D34" s="92">
        <v>0</v>
      </c>
      <c r="E34" s="77"/>
      <c r="F34" s="77"/>
      <c r="G34" s="77"/>
    </row>
    <row r="35" spans="1:7" ht="16.5" hidden="1" thickBot="1" x14ac:dyDescent="0.3">
      <c r="A35" s="104" t="s">
        <v>256</v>
      </c>
      <c r="B35" s="23"/>
      <c r="C35" s="95"/>
      <c r="D35" s="92">
        <v>0</v>
      </c>
      <c r="E35" s="77"/>
      <c r="F35" s="77"/>
      <c r="G35" s="77"/>
    </row>
    <row r="36" spans="1:7" ht="16.5" hidden="1" thickBot="1" x14ac:dyDescent="0.3">
      <c r="A36" s="104" t="s">
        <v>255</v>
      </c>
      <c r="B36" s="23">
        <v>0</v>
      </c>
      <c r="C36" s="95" t="s">
        <v>234</v>
      </c>
      <c r="D36" s="92">
        <v>0</v>
      </c>
      <c r="E36" s="77"/>
      <c r="F36" s="77"/>
      <c r="G36" s="77"/>
    </row>
    <row r="37" spans="1:7" ht="16.5" hidden="1" thickBot="1" x14ac:dyDescent="0.3">
      <c r="A37" s="104" t="s">
        <v>257</v>
      </c>
      <c r="B37" s="23">
        <v>0</v>
      </c>
      <c r="C37" s="95"/>
      <c r="D37" s="92">
        <v>0</v>
      </c>
      <c r="E37" s="77"/>
      <c r="F37" s="77"/>
      <c r="G37" s="77"/>
    </row>
    <row r="38" spans="1:7" ht="16.5" hidden="1" thickBot="1" x14ac:dyDescent="0.3">
      <c r="A38" s="104" t="s">
        <v>258</v>
      </c>
      <c r="B38" s="23">
        <v>0</v>
      </c>
      <c r="C38" s="95"/>
      <c r="D38" s="92">
        <v>0</v>
      </c>
      <c r="E38" s="77"/>
      <c r="F38" s="77"/>
      <c r="G38" s="77"/>
    </row>
    <row r="39" spans="1:7" ht="16.5" hidden="1" thickBot="1" x14ac:dyDescent="0.3">
      <c r="A39" s="104" t="s">
        <v>324</v>
      </c>
      <c r="B39" s="23">
        <v>0</v>
      </c>
      <c r="C39" s="95"/>
      <c r="D39" s="92">
        <v>0</v>
      </c>
      <c r="E39" s="77"/>
      <c r="F39" s="77"/>
      <c r="G39" s="77"/>
    </row>
    <row r="40" spans="1:7" ht="16.5" hidden="1" thickBot="1" x14ac:dyDescent="0.3">
      <c r="A40" s="104" t="s">
        <v>312</v>
      </c>
      <c r="B40" s="23">
        <v>0</v>
      </c>
      <c r="C40" s="95"/>
      <c r="D40" s="92"/>
      <c r="E40" s="77"/>
      <c r="F40" s="77"/>
      <c r="G40" s="77"/>
    </row>
    <row r="41" spans="1:7" ht="16.5" hidden="1" thickBot="1" x14ac:dyDescent="0.3">
      <c r="A41" s="104" t="s">
        <v>255</v>
      </c>
      <c r="B41" s="23"/>
      <c r="C41" s="93"/>
      <c r="D41" s="92">
        <v>0</v>
      </c>
      <c r="E41" s="77"/>
      <c r="F41" s="77"/>
      <c r="G41" s="77"/>
    </row>
    <row r="42" spans="1:7" s="103" customFormat="1" ht="48" thickBot="1" x14ac:dyDescent="0.3">
      <c r="A42" s="101" t="s">
        <v>325</v>
      </c>
      <c r="B42" s="208">
        <f>SUM(B43:B45)</f>
        <v>10359.768958998964</v>
      </c>
      <c r="C42" s="89"/>
      <c r="D42" s="95"/>
      <c r="E42" s="102"/>
      <c r="F42" s="102"/>
      <c r="G42" s="102"/>
    </row>
    <row r="43" spans="1:7" ht="15.75" x14ac:dyDescent="0.25">
      <c r="A43" s="104" t="s">
        <v>262</v>
      </c>
      <c r="B43" s="23">
        <v>1186.03</v>
      </c>
      <c r="C43" s="98"/>
      <c r="D43" s="108"/>
      <c r="E43" s="77"/>
      <c r="F43" s="77"/>
      <c r="G43" s="77"/>
    </row>
    <row r="44" spans="1:7" ht="15.75" hidden="1" x14ac:dyDescent="0.25">
      <c r="A44" s="104" t="s">
        <v>263</v>
      </c>
      <c r="B44" s="23"/>
      <c r="C44" s="93"/>
      <c r="D44" s="108"/>
      <c r="E44" s="77"/>
      <c r="F44" s="77"/>
      <c r="G44" s="77"/>
    </row>
    <row r="45" spans="1:7" ht="16.5" thickBot="1" x14ac:dyDescent="0.3">
      <c r="A45" s="109" t="s">
        <v>264</v>
      </c>
      <c r="B45" s="23">
        <f>('[3]34тарифы'!D163*B15+61.42)*1.1194</f>
        <v>9173.7389589989634</v>
      </c>
      <c r="C45" s="93"/>
      <c r="D45" s="108"/>
      <c r="E45" s="77"/>
      <c r="F45" s="77"/>
      <c r="G45" s="77"/>
    </row>
    <row r="46" spans="1:7" s="79" customFormat="1" ht="16.5" thickBot="1" x14ac:dyDescent="0.3">
      <c r="A46" s="101" t="s">
        <v>265</v>
      </c>
      <c r="B46" s="208">
        <f>SUM(B47:B65)</f>
        <v>29997.1</v>
      </c>
      <c r="C46" s="89"/>
      <c r="D46" s="95"/>
    </row>
    <row r="47" spans="1:7" ht="15.75" x14ac:dyDescent="0.25">
      <c r="A47" s="104" t="s">
        <v>326</v>
      </c>
      <c r="B47" s="23">
        <v>2278.92</v>
      </c>
      <c r="C47" s="90"/>
      <c r="D47" s="92"/>
      <c r="E47" s="77" t="s">
        <v>267</v>
      </c>
      <c r="F47" s="77"/>
      <c r="G47" s="77"/>
    </row>
    <row r="48" spans="1:7" ht="15.75" x14ac:dyDescent="0.25">
      <c r="A48" s="104" t="s">
        <v>317</v>
      </c>
      <c r="B48" s="23">
        <v>2767.26</v>
      </c>
      <c r="C48" s="95"/>
      <c r="D48" s="92"/>
      <c r="E48" s="77" t="s">
        <v>269</v>
      </c>
      <c r="F48" s="77"/>
      <c r="G48" s="77"/>
    </row>
    <row r="49" spans="1:5" ht="15.75" x14ac:dyDescent="0.25">
      <c r="A49" s="110" t="s">
        <v>282</v>
      </c>
      <c r="B49" s="23">
        <v>69.540000000000006</v>
      </c>
      <c r="C49" s="95"/>
      <c r="D49" s="92"/>
      <c r="E49" s="77"/>
    </row>
    <row r="50" spans="1:5" ht="15.75" hidden="1" x14ac:dyDescent="0.25">
      <c r="A50" s="110" t="s">
        <v>271</v>
      </c>
      <c r="B50" s="23">
        <v>0</v>
      </c>
      <c r="C50" s="95"/>
      <c r="D50" s="92">
        <v>4190</v>
      </c>
      <c r="E50" s="77"/>
    </row>
    <row r="51" spans="1:5" ht="15.75" hidden="1" x14ac:dyDescent="0.25">
      <c r="A51" s="110" t="s">
        <v>272</v>
      </c>
      <c r="B51" s="23">
        <v>0</v>
      </c>
      <c r="C51" s="95"/>
      <c r="D51" s="92"/>
      <c r="E51" s="77"/>
    </row>
    <row r="52" spans="1:5" ht="15.75" hidden="1" x14ac:dyDescent="0.25">
      <c r="A52" s="110" t="s">
        <v>273</v>
      </c>
      <c r="B52" s="23">
        <f>B21*'[3]34тарифы'!D177</f>
        <v>0</v>
      </c>
      <c r="C52" s="95"/>
      <c r="D52" s="92">
        <v>105.14</v>
      </c>
      <c r="E52" s="77"/>
    </row>
    <row r="53" spans="1:5" ht="15.75" hidden="1" x14ac:dyDescent="0.25">
      <c r="A53" s="110" t="s">
        <v>274</v>
      </c>
      <c r="B53" s="23">
        <v>0</v>
      </c>
      <c r="C53" s="95">
        <v>0</v>
      </c>
      <c r="D53" s="92">
        <v>522.99</v>
      </c>
      <c r="E53" s="77"/>
    </row>
    <row r="54" spans="1:5" ht="15.75" hidden="1" x14ac:dyDescent="0.25">
      <c r="A54" s="110" t="s">
        <v>275</v>
      </c>
      <c r="B54" s="23">
        <v>0</v>
      </c>
      <c r="C54" s="95">
        <v>0</v>
      </c>
      <c r="D54" s="111">
        <v>695.13</v>
      </c>
      <c r="E54" s="77"/>
    </row>
    <row r="55" spans="1:5" ht="15.75" hidden="1" x14ac:dyDescent="0.25">
      <c r="A55" s="110" t="s">
        <v>276</v>
      </c>
      <c r="B55" s="23">
        <v>0</v>
      </c>
      <c r="C55" s="95"/>
      <c r="D55" s="111"/>
      <c r="E55" s="77"/>
    </row>
    <row r="56" spans="1:5" ht="15.75" hidden="1" x14ac:dyDescent="0.25">
      <c r="A56" s="110" t="s">
        <v>277</v>
      </c>
      <c r="B56" s="23">
        <v>0</v>
      </c>
      <c r="C56" s="95">
        <v>0</v>
      </c>
      <c r="D56" s="92">
        <f>10695.76/1.18</f>
        <v>9064.203389830509</v>
      </c>
      <c r="E56" s="77"/>
    </row>
    <row r="57" spans="1:5" ht="15.75" hidden="1" x14ac:dyDescent="0.25">
      <c r="A57" s="110" t="s">
        <v>314</v>
      </c>
      <c r="B57" s="23">
        <v>0</v>
      </c>
      <c r="C57" s="95">
        <v>0</v>
      </c>
      <c r="D57" s="92">
        <f>2300/1.18</f>
        <v>1949.1525423728815</v>
      </c>
      <c r="E57" s="77"/>
    </row>
    <row r="58" spans="1:5" ht="15.75" x14ac:dyDescent="0.25">
      <c r="A58" s="110" t="s">
        <v>540</v>
      </c>
      <c r="B58" s="23">
        <v>10619.69</v>
      </c>
      <c r="C58" s="93">
        <v>0</v>
      </c>
      <c r="D58" s="92">
        <v>0</v>
      </c>
      <c r="E58" s="77"/>
    </row>
    <row r="59" spans="1:5" ht="16.5" hidden="1" thickBot="1" x14ac:dyDescent="0.3">
      <c r="A59" s="110" t="s">
        <v>279</v>
      </c>
      <c r="B59" s="23">
        <f>B13*'[3]34тарифы'!D184</f>
        <v>0</v>
      </c>
      <c r="C59" s="89"/>
      <c r="D59" s="95"/>
      <c r="E59" s="77"/>
    </row>
    <row r="60" spans="1:5" ht="15.75" hidden="1" x14ac:dyDescent="0.25">
      <c r="A60" s="104" t="s">
        <v>280</v>
      </c>
      <c r="B60" s="23">
        <v>0</v>
      </c>
      <c r="C60" s="90"/>
      <c r="D60" s="92"/>
      <c r="E60" s="77"/>
    </row>
    <row r="61" spans="1:5" ht="15.75" hidden="1" x14ac:dyDescent="0.25">
      <c r="A61" s="104" t="s">
        <v>281</v>
      </c>
      <c r="B61" s="23">
        <v>0</v>
      </c>
      <c r="C61" s="95"/>
      <c r="D61" s="92">
        <v>0</v>
      </c>
      <c r="E61" s="77"/>
    </row>
    <row r="62" spans="1:5" ht="15.75" hidden="1" x14ac:dyDescent="0.25">
      <c r="A62" s="104" t="s">
        <v>340</v>
      </c>
      <c r="B62" s="23">
        <v>0</v>
      </c>
      <c r="C62" s="95"/>
      <c r="D62" s="92">
        <v>0</v>
      </c>
      <c r="E62" s="77"/>
    </row>
    <row r="63" spans="1:5" ht="16.5" thickBot="1" x14ac:dyDescent="0.3">
      <c r="A63" s="104" t="s">
        <v>341</v>
      </c>
      <c r="B63" s="229">
        <v>14261.69</v>
      </c>
      <c r="C63" s="113">
        <v>1</v>
      </c>
      <c r="D63" s="92">
        <v>0</v>
      </c>
      <c r="E63" s="77"/>
    </row>
    <row r="64" spans="1:5" ht="16.5" hidden="1" thickBot="1" x14ac:dyDescent="0.3">
      <c r="A64" s="104" t="s">
        <v>284</v>
      </c>
      <c r="B64" s="229">
        <v>0</v>
      </c>
      <c r="C64" s="114">
        <v>36</v>
      </c>
      <c r="D64" s="95">
        <v>2</v>
      </c>
      <c r="E64" s="77">
        <v>1</v>
      </c>
    </row>
    <row r="65" spans="1:4" s="79" customFormat="1" ht="16.5" hidden="1" thickBot="1" x14ac:dyDescent="0.3">
      <c r="A65" s="104" t="s">
        <v>285</v>
      </c>
      <c r="B65" s="229">
        <v>0</v>
      </c>
      <c r="C65" s="115">
        <v>36</v>
      </c>
      <c r="D65" s="108">
        <f>650/1.18</f>
        <v>550.84745762711873</v>
      </c>
    </row>
    <row r="66" spans="1:4" s="79" customFormat="1" ht="16.5" thickBot="1" x14ac:dyDescent="0.3">
      <c r="A66" s="116" t="s">
        <v>286</v>
      </c>
      <c r="B66" s="208">
        <f>SUM(B67:B74)</f>
        <v>115190.14019212378</v>
      </c>
      <c r="C66" s="89"/>
      <c r="D66" s="93"/>
    </row>
    <row r="67" spans="1:4" ht="16.5" hidden="1" thickBot="1" x14ac:dyDescent="0.3">
      <c r="A67" s="104" t="s">
        <v>287</v>
      </c>
      <c r="B67" s="23">
        <v>0</v>
      </c>
      <c r="C67" s="98"/>
      <c r="D67" s="108"/>
    </row>
    <row r="68" spans="1:4" ht="16.5" thickBot="1" x14ac:dyDescent="0.3">
      <c r="A68" s="104" t="s">
        <v>288</v>
      </c>
      <c r="B68" s="23">
        <f>44879*1.04*1.1194</f>
        <v>52247.054704000002</v>
      </c>
      <c r="C68" s="89"/>
      <c r="D68" s="93"/>
    </row>
    <row r="69" spans="1:4" ht="15.75" hidden="1" x14ac:dyDescent="0.25">
      <c r="A69" s="104" t="s">
        <v>289</v>
      </c>
      <c r="B69" s="23">
        <v>0</v>
      </c>
      <c r="C69" s="98"/>
      <c r="D69" s="108"/>
    </row>
    <row r="70" spans="1:4" ht="16.5" thickBot="1" x14ac:dyDescent="0.3">
      <c r="A70" s="109" t="s">
        <v>290</v>
      </c>
      <c r="B70" s="23">
        <f>'[3]34тарифы'!D164*B13*1.1194</f>
        <v>1892.009894524748</v>
      </c>
      <c r="C70" s="93"/>
      <c r="D70" s="108"/>
    </row>
    <row r="71" spans="1:4" ht="15.75" x14ac:dyDescent="0.25">
      <c r="A71" s="109" t="s">
        <v>291</v>
      </c>
      <c r="B71" s="23">
        <f>VLOOKUP(A71,[2]Лист1!S$1:T$65536,2,FALSE)*B15</f>
        <v>7090.4416012573247</v>
      </c>
      <c r="C71" s="117"/>
      <c r="D71" s="93"/>
    </row>
    <row r="72" spans="1:4" ht="15.75" x14ac:dyDescent="0.25">
      <c r="A72" s="109" t="s">
        <v>292</v>
      </c>
      <c r="B72" s="23">
        <f>VLOOKUP(A72,[2]Лист1!S$1:T$65536,2,FALSE)*B15</f>
        <v>24751.458152341711</v>
      </c>
      <c r="C72" s="108"/>
      <c r="D72" s="93"/>
    </row>
    <row r="73" spans="1:4" ht="15.75" x14ac:dyDescent="0.25">
      <c r="A73" s="41" t="s">
        <v>293</v>
      </c>
      <c r="B73" s="23">
        <f>2656*1.04*1.1194</f>
        <v>3092.0514560000001</v>
      </c>
      <c r="C73" s="108"/>
      <c r="D73" s="93"/>
    </row>
    <row r="74" spans="1:4" ht="15.75" x14ac:dyDescent="0.25">
      <c r="A74" s="109" t="s">
        <v>294</v>
      </c>
      <c r="B74" s="23">
        <f>22434*1.04*1.1194</f>
        <v>26117.124383999999</v>
      </c>
      <c r="C74" s="108"/>
      <c r="D74" s="93"/>
    </row>
    <row r="75" spans="1:4" ht="47.25" x14ac:dyDescent="0.25">
      <c r="A75" s="118" t="s">
        <v>328</v>
      </c>
      <c r="B75" s="208">
        <f>SUM(B76:B76)</f>
        <v>52147.046688763257</v>
      </c>
      <c r="C75" s="108"/>
      <c r="D75" s="93"/>
    </row>
    <row r="76" spans="1:4" ht="15.75" x14ac:dyDescent="0.25">
      <c r="A76" s="109" t="s">
        <v>296</v>
      </c>
      <c r="B76" s="23">
        <f>'[3]34ОЭР'!D164*1.1194</f>
        <v>52147.046688763257</v>
      </c>
      <c r="C76" s="108"/>
      <c r="D76" s="93"/>
    </row>
    <row r="77" spans="1:4" s="79" customFormat="1" ht="15.75" x14ac:dyDescent="0.25">
      <c r="A77" s="116" t="s">
        <v>297</v>
      </c>
      <c r="B77" s="208">
        <f>SUM(B78:B81)</f>
        <v>47237.971478418454</v>
      </c>
      <c r="C77" s="108"/>
      <c r="D77" s="93"/>
    </row>
    <row r="78" spans="1:4" ht="32.25" thickBot="1" x14ac:dyDescent="0.3">
      <c r="A78" s="119" t="s">
        <v>329</v>
      </c>
      <c r="B78" s="23">
        <f>'[3]34тарифы'!D170*B15*1.1194</f>
        <v>36979.886483225251</v>
      </c>
      <c r="C78" s="96"/>
      <c r="D78" s="93"/>
    </row>
    <row r="79" spans="1:4" ht="16.5" hidden="1" thickBot="1" x14ac:dyDescent="0.3">
      <c r="A79" s="51" t="s">
        <v>299</v>
      </c>
      <c r="B79" s="23">
        <f>(B26/1.2)*30%</f>
        <v>0</v>
      </c>
      <c r="C79" s="98"/>
      <c r="D79" s="108"/>
    </row>
    <row r="80" spans="1:4" ht="15.75" x14ac:dyDescent="0.25">
      <c r="A80" s="120" t="s">
        <v>330</v>
      </c>
      <c r="B80" s="23">
        <f>3196.75+3693.08</f>
        <v>6889.83</v>
      </c>
      <c r="C80" s="117"/>
      <c r="D80" s="93"/>
    </row>
    <row r="81" spans="1:4" ht="15.75" x14ac:dyDescent="0.25">
      <c r="A81" s="120" t="s">
        <v>331</v>
      </c>
      <c r="B81" s="23">
        <f>'[3]34тарифы'!D173*B13*1.1194</f>
        <v>3368.2549951931996</v>
      </c>
      <c r="C81" s="108"/>
      <c r="D81" s="93"/>
    </row>
    <row r="82" spans="1:4" ht="15.75" x14ac:dyDescent="0.25">
      <c r="A82" s="121" t="s">
        <v>302</v>
      </c>
      <c r="B82" s="28">
        <f>B32+B42+B46+B66+B75+B77</f>
        <v>262738.79008230445</v>
      </c>
      <c r="C82" s="108"/>
      <c r="D82" s="93"/>
    </row>
    <row r="83" spans="1:4" ht="15.75" x14ac:dyDescent="0.25">
      <c r="A83" s="122" t="s">
        <v>303</v>
      </c>
      <c r="B83" s="23">
        <f>B82*0.03</f>
        <v>7882.1637024691336</v>
      </c>
      <c r="C83" s="108"/>
      <c r="D83" s="93"/>
    </row>
    <row r="84" spans="1:4" s="103" customFormat="1" ht="15.75" x14ac:dyDescent="0.25">
      <c r="A84" s="123" t="s">
        <v>304</v>
      </c>
      <c r="B84" s="208">
        <f>B82+B83</f>
        <v>270620.95378477359</v>
      </c>
      <c r="C84" s="108"/>
      <c r="D84" s="93"/>
    </row>
    <row r="85" spans="1:4" ht="16.5" thickBot="1" x14ac:dyDescent="0.3">
      <c r="A85" s="124" t="s">
        <v>305</v>
      </c>
      <c r="B85" s="240">
        <f>B84*0.2</f>
        <v>54124.190756954718</v>
      </c>
      <c r="C85" s="108"/>
      <c r="D85" s="93"/>
    </row>
    <row r="86" spans="1:4" s="79" customFormat="1" ht="16.5" thickBot="1" x14ac:dyDescent="0.3">
      <c r="A86" s="125" t="s">
        <v>306</v>
      </c>
      <c r="B86" s="66">
        <f>B84+B85</f>
        <v>324745.14454172831</v>
      </c>
      <c r="C86" s="89"/>
      <c r="D86" s="126"/>
    </row>
    <row r="87" spans="1:4" s="79" customFormat="1" ht="16.5" thickBot="1" x14ac:dyDescent="0.3">
      <c r="A87" s="127" t="s">
        <v>307</v>
      </c>
      <c r="B87" s="296">
        <f>B10+B24+B26+B28+B29-B86</f>
        <v>-836582.11454172828</v>
      </c>
      <c r="C87" s="128"/>
      <c r="D87" s="129"/>
    </row>
    <row r="88" spans="1:4" s="79" customFormat="1" ht="16.5" thickBot="1" x14ac:dyDescent="0.3">
      <c r="A88" s="130" t="s">
        <v>308</v>
      </c>
      <c r="B88" s="66">
        <f>B10+B25+B27+B28+B29-B86</f>
        <v>-865377.23454172828</v>
      </c>
      <c r="C88" s="131"/>
      <c r="D88" s="129"/>
    </row>
    <row r="89" spans="1:4" s="79" customFormat="1" ht="16.5" hidden="1" thickBot="1" x14ac:dyDescent="0.3">
      <c r="A89" s="132" t="s">
        <v>309</v>
      </c>
      <c r="B89" s="66">
        <f>B11+B24-B25</f>
        <v>28795.119999999995</v>
      </c>
      <c r="C89" s="129"/>
      <c r="D89" s="129"/>
    </row>
    <row r="90" spans="1:4" s="79" customFormat="1" ht="15.75" x14ac:dyDescent="0.25">
      <c r="A90" s="133"/>
      <c r="B90" s="242"/>
      <c r="C90" s="129"/>
      <c r="D90" s="129"/>
    </row>
    <row r="91" spans="1:4" ht="15.75" x14ac:dyDescent="0.25">
      <c r="A91" s="134"/>
      <c r="B91" s="3"/>
      <c r="C91" s="77"/>
      <c r="D91" s="77"/>
    </row>
    <row r="92" spans="1:4" ht="15.75" x14ac:dyDescent="0.25">
      <c r="A92" s="323" t="s">
        <v>332</v>
      </c>
      <c r="B92" s="323"/>
      <c r="C92" s="77"/>
      <c r="D92" s="77"/>
    </row>
    <row r="93" spans="1:4" ht="15.75" x14ac:dyDescent="0.25">
      <c r="A93" s="134"/>
      <c r="B93" s="3"/>
      <c r="C93" s="77"/>
      <c r="D93" s="77"/>
    </row>
    <row r="94" spans="1:4" ht="15.75" hidden="1" x14ac:dyDescent="0.25">
      <c r="A94" s="324" t="s">
        <v>333</v>
      </c>
      <c r="B94" s="324"/>
      <c r="C94" s="135"/>
      <c r="D94" s="77"/>
    </row>
    <row r="95" spans="1:4" ht="15.75" x14ac:dyDescent="0.25">
      <c r="A95" s="77"/>
      <c r="B95" s="3"/>
      <c r="C95" s="77"/>
      <c r="D95" s="77"/>
    </row>
  </sheetData>
  <autoFilter ref="A31:G89" xr:uid="{00000000-0009-0000-0000-00002D000000}">
    <filterColumn colId="1">
      <filters>
        <filter val="1 186,03"/>
        <filter val="1 892,01"/>
        <filter val="10 359,77"/>
        <filter val="115 190,14"/>
        <filter val="122,05"/>
        <filter val="13 944,53"/>
        <filter val="2 278,92"/>
        <filter val="2 767,26"/>
        <filter val="22 735,80"/>
        <filter val="24 751,46"/>
        <filter val="255 619,93"/>
        <filter val="26 117,12"/>
        <filter val="263 288,53"/>
        <filter val="28 795,12"/>
        <filter val="3 092,05"/>
        <filter val="3 368,25"/>
        <filter val="3 623,04"/>
        <filter val="315 946,23"/>
        <filter val="36 979,89"/>
        <filter val="47 380,41"/>
        <filter val="52 147,05"/>
        <filter val="52 247,05"/>
        <filter val="52 657,71"/>
        <filter val="7 032,27"/>
        <filter val="7 090,44"/>
        <filter val="7 668,60"/>
        <filter val="7 806,76"/>
        <filter val="-741 564,71"/>
        <filter val="-770 359,83"/>
        <filter val="9 173,74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84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filterMode="1">
    <pageSetUpPr fitToPage="1"/>
  </sheetPr>
  <dimension ref="A1:G95"/>
  <sheetViews>
    <sheetView view="pageBreakPreview" topLeftCell="A33" zoomScale="80" zoomScaleNormal="100" zoomScaleSheetLayoutView="80" workbookViewId="0">
      <selection activeCell="B81" sqref="B81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25" t="s">
        <v>224</v>
      </c>
      <c r="B1" s="325"/>
      <c r="C1" s="77"/>
      <c r="D1" s="77"/>
    </row>
    <row r="2" spans="1:4" ht="16.5" x14ac:dyDescent="0.25">
      <c r="A2" s="326" t="s">
        <v>225</v>
      </c>
      <c r="B2" s="326"/>
      <c r="C2" s="77"/>
      <c r="D2" s="77"/>
    </row>
    <row r="3" spans="1:4" ht="16.5" x14ac:dyDescent="0.25">
      <c r="A3" s="326" t="s">
        <v>226</v>
      </c>
      <c r="B3" s="326"/>
      <c r="C3" s="77"/>
      <c r="D3" s="77"/>
    </row>
    <row r="4" spans="1:4" ht="15.75" x14ac:dyDescent="0.25">
      <c r="A4" s="78" t="s">
        <v>516</v>
      </c>
      <c r="B4" s="78"/>
      <c r="C4" s="77"/>
      <c r="D4" s="77"/>
    </row>
    <row r="5" spans="1:4" ht="15.75" x14ac:dyDescent="0.25">
      <c r="A5" s="78" t="s">
        <v>139</v>
      </c>
      <c r="B5" s="78"/>
      <c r="C5" s="77"/>
      <c r="D5" s="77"/>
    </row>
    <row r="6" spans="1:4" ht="5.25" customHeight="1" x14ac:dyDescent="0.25">
      <c r="A6" s="78"/>
      <c r="B6" s="8"/>
      <c r="C6" s="79"/>
      <c r="D6" s="77"/>
    </row>
    <row r="7" spans="1:4" ht="16.5" thickBot="1" x14ac:dyDescent="0.3">
      <c r="A7" s="80"/>
      <c r="B7" s="8"/>
      <c r="C7" s="79"/>
      <c r="D7" s="77"/>
    </row>
    <row r="8" spans="1:4" ht="15.75" customHeight="1" x14ac:dyDescent="0.2">
      <c r="A8" s="327" t="s">
        <v>227</v>
      </c>
      <c r="B8" s="329" t="s">
        <v>228</v>
      </c>
      <c r="C8" s="331" t="s">
        <v>229</v>
      </c>
      <c r="D8" s="321" t="s">
        <v>230</v>
      </c>
    </row>
    <row r="9" spans="1:4" ht="28.5" customHeight="1" thickBot="1" x14ac:dyDescent="0.25">
      <c r="A9" s="328"/>
      <c r="B9" s="330"/>
      <c r="C9" s="332"/>
      <c r="D9" s="322"/>
    </row>
    <row r="10" spans="1:4" ht="16.5" thickBot="1" x14ac:dyDescent="0.25">
      <c r="A10" s="81" t="s">
        <v>231</v>
      </c>
      <c r="B10" s="302">
        <f>VLOOKUP(A5,мкд!S:T,2,FALSE)</f>
        <v>-287082.36</v>
      </c>
      <c r="C10" s="83"/>
      <c r="D10" s="84"/>
    </row>
    <row r="11" spans="1:4" ht="16.5" hidden="1" thickBot="1" x14ac:dyDescent="0.25">
      <c r="A11" s="85" t="s">
        <v>232</v>
      </c>
      <c r="B11" s="210"/>
      <c r="C11" s="84"/>
      <c r="D11" s="86"/>
    </row>
    <row r="12" spans="1:4" ht="16.5" thickBot="1" x14ac:dyDescent="0.3">
      <c r="A12" s="87" t="s">
        <v>233</v>
      </c>
      <c r="B12" s="217"/>
      <c r="C12" s="89" t="s">
        <v>234</v>
      </c>
      <c r="D12" s="90" t="s">
        <v>234</v>
      </c>
    </row>
    <row r="13" spans="1:4" ht="16.5" hidden="1" thickBot="1" x14ac:dyDescent="0.3">
      <c r="A13" s="91" t="s">
        <v>235</v>
      </c>
      <c r="B13" s="23">
        <v>1458.8</v>
      </c>
      <c r="C13" s="90" t="s">
        <v>234</v>
      </c>
      <c r="D13" s="92" t="s">
        <v>234</v>
      </c>
    </row>
    <row r="14" spans="1:4" ht="16.5" hidden="1" thickBot="1" x14ac:dyDescent="0.3">
      <c r="A14" s="91" t="s">
        <v>236</v>
      </c>
      <c r="B14" s="23">
        <v>69.5</v>
      </c>
      <c r="C14" s="93"/>
      <c r="D14" s="92"/>
    </row>
    <row r="15" spans="1:4" ht="16.5" hidden="1" thickBot="1" x14ac:dyDescent="0.3">
      <c r="A15" s="91" t="s">
        <v>237</v>
      </c>
      <c r="B15" s="23">
        <f>B13+B14</f>
        <v>1528.3</v>
      </c>
      <c r="C15" s="94"/>
      <c r="D15" s="95"/>
    </row>
    <row r="16" spans="1:4" ht="16.5" hidden="1" thickBot="1" x14ac:dyDescent="0.3">
      <c r="A16" s="91" t="s">
        <v>238</v>
      </c>
      <c r="B16" s="23">
        <f>810.9+1006/3</f>
        <v>1146.2333333333333</v>
      </c>
      <c r="C16" s="96" t="s">
        <v>234</v>
      </c>
      <c r="D16" s="95" t="s">
        <v>234</v>
      </c>
    </row>
    <row r="17" spans="1:7" ht="16.5" hidden="1" thickBot="1" x14ac:dyDescent="0.3">
      <c r="A17" s="91" t="s">
        <v>239</v>
      </c>
      <c r="B17" s="23">
        <v>0</v>
      </c>
      <c r="C17" s="90" t="s">
        <v>234</v>
      </c>
      <c r="D17" s="92" t="s">
        <v>234</v>
      </c>
      <c r="E17" s="77"/>
      <c r="F17" s="77"/>
      <c r="G17" s="77"/>
    </row>
    <row r="18" spans="1:7" ht="16.5" hidden="1" thickBot="1" x14ac:dyDescent="0.3">
      <c r="A18" s="91" t="s">
        <v>240</v>
      </c>
      <c r="B18" s="23">
        <v>570</v>
      </c>
      <c r="C18" s="95" t="s">
        <v>234</v>
      </c>
      <c r="D18" s="92" t="s">
        <v>234</v>
      </c>
      <c r="E18" s="77"/>
      <c r="F18" s="77"/>
      <c r="G18" s="77"/>
    </row>
    <row r="19" spans="1:7" ht="16.5" hidden="1" thickBot="1" x14ac:dyDescent="0.3">
      <c r="A19" s="91" t="s">
        <v>241</v>
      </c>
      <c r="B19" s="23">
        <v>0</v>
      </c>
      <c r="C19" s="95" t="s">
        <v>234</v>
      </c>
      <c r="D19" s="92" t="s">
        <v>234</v>
      </c>
      <c r="E19" s="77"/>
      <c r="F19" s="77"/>
      <c r="G19" s="77"/>
    </row>
    <row r="20" spans="1:7" ht="16.5" hidden="1" thickBot="1" x14ac:dyDescent="0.3">
      <c r="A20" s="91" t="s">
        <v>242</v>
      </c>
      <c r="B20" s="23">
        <v>826</v>
      </c>
      <c r="C20" s="95"/>
      <c r="D20" s="92"/>
      <c r="E20" s="77"/>
      <c r="F20" s="77"/>
      <c r="G20" s="77"/>
    </row>
    <row r="21" spans="1:7" ht="16.5" hidden="1" thickBot="1" x14ac:dyDescent="0.3">
      <c r="A21" s="91" t="s">
        <v>243</v>
      </c>
      <c r="B21" s="23">
        <v>0</v>
      </c>
      <c r="C21" s="95" t="s">
        <v>234</v>
      </c>
      <c r="D21" s="92" t="s">
        <v>234</v>
      </c>
      <c r="E21" s="77"/>
      <c r="F21" s="77"/>
      <c r="G21" s="77"/>
    </row>
    <row r="22" spans="1:7" ht="16.5" hidden="1" thickBot="1" x14ac:dyDescent="0.3">
      <c r="A22" s="91" t="s">
        <v>244</v>
      </c>
      <c r="B22" s="23">
        <v>94</v>
      </c>
      <c r="C22" s="93"/>
      <c r="D22" s="92"/>
      <c r="E22" s="77"/>
      <c r="F22" s="77"/>
      <c r="G22" s="77"/>
    </row>
    <row r="23" spans="1:7" ht="15.75" x14ac:dyDescent="0.25">
      <c r="A23" s="91"/>
      <c r="B23" s="23"/>
      <c r="C23" s="94"/>
      <c r="D23" s="95"/>
      <c r="E23" s="77">
        <v>10</v>
      </c>
      <c r="F23" s="77">
        <v>2</v>
      </c>
      <c r="G23" s="77"/>
    </row>
    <row r="24" spans="1:7" ht="15.75" x14ac:dyDescent="0.25">
      <c r="A24" s="97" t="s">
        <v>319</v>
      </c>
      <c r="B24" s="28">
        <f>VLOOKUP(A5,[2]Лист1!M$1:N$65536,2,FALSE)</f>
        <v>276492.44</v>
      </c>
      <c r="C24" s="92"/>
      <c r="D24" s="95"/>
      <c r="E24" s="26">
        <v>15.510000000000002</v>
      </c>
      <c r="F24" s="256">
        <v>17.361893999999999</v>
      </c>
      <c r="G24" s="77"/>
    </row>
    <row r="25" spans="1:7" ht="16.5" thickBot="1" x14ac:dyDescent="0.3">
      <c r="A25" s="97" t="s">
        <v>320</v>
      </c>
      <c r="B25" s="28">
        <f>VLOOKUP(A5,[2]Лист1!M$1:O$65536,3,FALSE)</f>
        <v>291987.71999999997</v>
      </c>
      <c r="C25" s="96"/>
      <c r="D25" s="95"/>
      <c r="E25" s="77"/>
      <c r="F25" s="77"/>
      <c r="G25" s="77"/>
    </row>
    <row r="26" spans="1:7" ht="15.75" x14ac:dyDescent="0.25">
      <c r="A26" s="97" t="s">
        <v>353</v>
      </c>
      <c r="B26" s="28">
        <v>13192.49</v>
      </c>
      <c r="C26" s="90"/>
      <c r="D26" s="92"/>
      <c r="E26" s="77"/>
      <c r="F26" s="77"/>
      <c r="G26" s="77"/>
    </row>
    <row r="27" spans="1:7" ht="16.5" thickBot="1" x14ac:dyDescent="0.3">
      <c r="A27" s="97" t="s">
        <v>354</v>
      </c>
      <c r="B27" s="28">
        <v>19403.099999999999</v>
      </c>
      <c r="C27" s="93"/>
      <c r="D27" s="92"/>
      <c r="E27" s="77"/>
      <c r="F27" s="77"/>
      <c r="G27" s="77"/>
    </row>
    <row r="28" spans="1:7" ht="16.5" thickBot="1" x14ac:dyDescent="0.3">
      <c r="A28" s="97" t="s">
        <v>249</v>
      </c>
      <c r="B28" s="28">
        <v>7459.44</v>
      </c>
      <c r="C28" s="89"/>
      <c r="D28" s="95"/>
      <c r="E28" s="77"/>
      <c r="F28" s="77"/>
      <c r="G28" s="77"/>
    </row>
    <row r="29" spans="1:7" ht="16.5" hidden="1" thickBot="1" x14ac:dyDescent="0.3">
      <c r="A29" s="97" t="s">
        <v>250</v>
      </c>
      <c r="B29" s="28"/>
      <c r="C29" s="98"/>
      <c r="D29" s="92"/>
      <c r="E29" s="77"/>
      <c r="F29" s="77"/>
      <c r="G29" s="77"/>
    </row>
    <row r="30" spans="1:7" ht="15.75" x14ac:dyDescent="0.25">
      <c r="A30" s="99"/>
      <c r="B30" s="23"/>
      <c r="C30" s="94"/>
      <c r="D30" s="95"/>
      <c r="E30" s="77"/>
      <c r="F30" s="77"/>
      <c r="G30" s="77"/>
    </row>
    <row r="31" spans="1:7" ht="15.75" x14ac:dyDescent="0.25">
      <c r="A31" s="100" t="s">
        <v>251</v>
      </c>
      <c r="B31" s="23"/>
      <c r="C31" s="92"/>
      <c r="D31" s="95"/>
      <c r="E31" s="77"/>
      <c r="F31" s="77"/>
      <c r="G31" s="77"/>
    </row>
    <row r="32" spans="1:7" s="103" customFormat="1" ht="31.5" x14ac:dyDescent="0.25">
      <c r="A32" s="101" t="s">
        <v>252</v>
      </c>
      <c r="B32" s="208">
        <f>SUM(B33:B41)</f>
        <v>41383.512117173595</v>
      </c>
      <c r="C32" s="92"/>
      <c r="D32" s="95"/>
      <c r="E32" s="102">
        <f>(B86-B26-B24)/1.2/1.03</f>
        <v>101653.68201118975</v>
      </c>
      <c r="F32" s="102" t="e">
        <f>(#REF!-#REF!-#REF!)/1.2/1.03</f>
        <v>#REF!</v>
      </c>
      <c r="G32" s="102" t="e">
        <f>(#REF!-#REF!-#REF!)/1.2/1.03</f>
        <v>#REF!</v>
      </c>
    </row>
    <row r="33" spans="1:7" ht="16.5" thickBot="1" x14ac:dyDescent="0.3">
      <c r="A33" s="104" t="s">
        <v>253</v>
      </c>
      <c r="B33" s="23">
        <v>18494.64</v>
      </c>
      <c r="C33" s="96"/>
      <c r="D33" s="95">
        <v>19633.68</v>
      </c>
      <c r="E33" s="77"/>
      <c r="F33" s="77"/>
      <c r="G33" s="77"/>
    </row>
    <row r="34" spans="1:7" ht="15.75" hidden="1" x14ac:dyDescent="0.25">
      <c r="A34" s="104" t="s">
        <v>322</v>
      </c>
      <c r="B34" s="23"/>
      <c r="C34" s="90"/>
      <c r="D34" s="92">
        <v>0</v>
      </c>
      <c r="E34" s="77"/>
      <c r="F34" s="77"/>
      <c r="G34" s="77"/>
    </row>
    <row r="35" spans="1:7" ht="15.75" x14ac:dyDescent="0.25">
      <c r="A35" s="104" t="s">
        <v>256</v>
      </c>
      <c r="B35" s="23">
        <v>14019.73</v>
      </c>
      <c r="C35" s="95"/>
      <c r="D35" s="92">
        <v>0</v>
      </c>
      <c r="E35" s="77"/>
      <c r="F35" s="77"/>
      <c r="G35" s="77"/>
    </row>
    <row r="36" spans="1:7" ht="15.75" x14ac:dyDescent="0.25">
      <c r="A36" s="104" t="s">
        <v>255</v>
      </c>
      <c r="B36" s="23">
        <v>4180.6521171735994</v>
      </c>
      <c r="C36" s="95" t="s">
        <v>234</v>
      </c>
      <c r="D36" s="92">
        <v>0</v>
      </c>
      <c r="E36" s="77"/>
      <c r="F36" s="77"/>
      <c r="G36" s="77"/>
    </row>
    <row r="37" spans="1:7" ht="16.5" thickBot="1" x14ac:dyDescent="0.3">
      <c r="A37" s="104" t="s">
        <v>257</v>
      </c>
      <c r="B37" s="23">
        <v>4688.49</v>
      </c>
      <c r="C37" s="95"/>
      <c r="D37" s="92">
        <v>0</v>
      </c>
      <c r="E37" s="77"/>
      <c r="F37" s="77"/>
      <c r="G37" s="77"/>
    </row>
    <row r="38" spans="1:7" ht="16.5" hidden="1" thickBot="1" x14ac:dyDescent="0.3">
      <c r="A38" s="104" t="s">
        <v>343</v>
      </c>
      <c r="B38" s="23">
        <v>0</v>
      </c>
      <c r="C38" s="95"/>
      <c r="D38" s="92">
        <v>0</v>
      </c>
      <c r="E38" s="77"/>
      <c r="F38" s="77"/>
      <c r="G38" s="77"/>
    </row>
    <row r="39" spans="1:7" ht="16.5" hidden="1" thickBot="1" x14ac:dyDescent="0.3">
      <c r="A39" s="104" t="s">
        <v>324</v>
      </c>
      <c r="B39" s="23">
        <v>0</v>
      </c>
      <c r="C39" s="95"/>
      <c r="D39" s="92">
        <v>0</v>
      </c>
      <c r="E39" s="77"/>
      <c r="F39" s="77"/>
      <c r="G39" s="77"/>
    </row>
    <row r="40" spans="1:7" ht="16.5" hidden="1" thickBot="1" x14ac:dyDescent="0.3">
      <c r="A40" s="104" t="s">
        <v>312</v>
      </c>
      <c r="B40" s="23">
        <v>0</v>
      </c>
      <c r="C40" s="95"/>
      <c r="D40" s="92"/>
      <c r="E40" s="77"/>
      <c r="F40" s="77"/>
      <c r="G40" s="77"/>
    </row>
    <row r="41" spans="1:7" ht="16.5" hidden="1" thickBot="1" x14ac:dyDescent="0.3">
      <c r="A41" s="104" t="s">
        <v>342</v>
      </c>
      <c r="B41" s="23"/>
      <c r="C41" s="93"/>
      <c r="D41" s="92"/>
      <c r="E41" s="77"/>
      <c r="F41" s="77"/>
      <c r="G41" s="77"/>
    </row>
    <row r="42" spans="1:7" s="103" customFormat="1" ht="48" thickBot="1" x14ac:dyDescent="0.3">
      <c r="A42" s="101" t="s">
        <v>325</v>
      </c>
      <c r="B42" s="208">
        <f>SUM(B43:B45)</f>
        <v>51717.657226792922</v>
      </c>
      <c r="C42" s="89"/>
      <c r="D42" s="95"/>
      <c r="E42" s="102"/>
      <c r="F42" s="102"/>
      <c r="G42" s="102"/>
    </row>
    <row r="43" spans="1:7" ht="15.75" x14ac:dyDescent="0.25">
      <c r="A43" s="104" t="s">
        <v>262</v>
      </c>
      <c r="B43" s="23">
        <v>9537.5199999999986</v>
      </c>
      <c r="C43" s="98"/>
      <c r="D43" s="108"/>
      <c r="E43" s="77"/>
      <c r="F43" s="77"/>
      <c r="G43" s="77"/>
    </row>
    <row r="44" spans="1:7" ht="15.75" x14ac:dyDescent="0.25">
      <c r="A44" s="104" t="s">
        <v>263</v>
      </c>
      <c r="B44" s="23">
        <v>29610.447882826375</v>
      </c>
      <c r="C44" s="93"/>
      <c r="D44" s="108"/>
      <c r="E44" s="77"/>
      <c r="F44" s="77"/>
      <c r="G44" s="77"/>
    </row>
    <row r="45" spans="1:7" ht="16.5" thickBot="1" x14ac:dyDescent="0.3">
      <c r="A45" s="109" t="s">
        <v>264</v>
      </c>
      <c r="B45" s="23">
        <f>('[3]34тарифы'!D163*B15+3120.61)*1.1194</f>
        <v>12569.689343966549</v>
      </c>
      <c r="C45" s="93"/>
      <c r="D45" s="108"/>
      <c r="E45" s="77"/>
      <c r="F45" s="77"/>
      <c r="G45" s="77"/>
    </row>
    <row r="46" spans="1:7" s="79" customFormat="1" ht="16.5" thickBot="1" x14ac:dyDescent="0.3">
      <c r="A46" s="101" t="s">
        <v>265</v>
      </c>
      <c r="B46" s="208">
        <f>SUM(B47:B65)</f>
        <v>32430.57</v>
      </c>
      <c r="C46" s="89"/>
      <c r="D46" s="95"/>
    </row>
    <row r="47" spans="1:7" ht="15.75" x14ac:dyDescent="0.25">
      <c r="A47" s="104" t="s">
        <v>326</v>
      </c>
      <c r="B47" s="283">
        <v>2394</v>
      </c>
      <c r="C47" s="90"/>
      <c r="D47" s="92"/>
      <c r="E47" s="77" t="s">
        <v>267</v>
      </c>
      <c r="F47" s="77"/>
      <c r="G47" s="77"/>
    </row>
    <row r="48" spans="1:7" ht="15.75" x14ac:dyDescent="0.25">
      <c r="A48" s="104" t="s">
        <v>317</v>
      </c>
      <c r="B48" s="283">
        <v>2907</v>
      </c>
      <c r="C48" s="95"/>
      <c r="D48" s="92"/>
      <c r="E48" s="77" t="s">
        <v>269</v>
      </c>
      <c r="F48" s="77"/>
      <c r="G48" s="77"/>
    </row>
    <row r="49" spans="1:5" ht="15.75" x14ac:dyDescent="0.25">
      <c r="A49" s="110" t="s">
        <v>282</v>
      </c>
      <c r="B49" s="290">
        <v>33.33</v>
      </c>
      <c r="C49" s="95"/>
      <c r="D49" s="92"/>
      <c r="E49" s="77"/>
    </row>
    <row r="50" spans="1:5" ht="15.75" hidden="1" x14ac:dyDescent="0.25">
      <c r="A50" s="110" t="s">
        <v>271</v>
      </c>
      <c r="B50" s="23">
        <v>0</v>
      </c>
      <c r="C50" s="95"/>
      <c r="D50" s="92">
        <v>4190</v>
      </c>
      <c r="E50" s="77"/>
    </row>
    <row r="51" spans="1:5" ht="15.75" hidden="1" x14ac:dyDescent="0.25">
      <c r="A51" s="110" t="s">
        <v>272</v>
      </c>
      <c r="B51" s="23">
        <v>0</v>
      </c>
      <c r="C51" s="95"/>
      <c r="D51" s="92"/>
      <c r="E51" s="77"/>
    </row>
    <row r="52" spans="1:5" ht="15.75" hidden="1" x14ac:dyDescent="0.25">
      <c r="A52" s="110" t="s">
        <v>273</v>
      </c>
      <c r="B52" s="23">
        <f>B21*'[3]34тарифы'!D177</f>
        <v>0</v>
      </c>
      <c r="C52" s="95"/>
      <c r="D52" s="92">
        <v>105.14</v>
      </c>
      <c r="E52" s="77"/>
    </row>
    <row r="53" spans="1:5" ht="15.75" hidden="1" x14ac:dyDescent="0.25">
      <c r="A53" s="110" t="s">
        <v>274</v>
      </c>
      <c r="B53" s="23">
        <v>0</v>
      </c>
      <c r="C53" s="95">
        <v>0</v>
      </c>
      <c r="D53" s="92">
        <v>522.99</v>
      </c>
      <c r="E53" s="77"/>
    </row>
    <row r="54" spans="1:5" ht="15.75" hidden="1" x14ac:dyDescent="0.25">
      <c r="A54" s="110" t="s">
        <v>275</v>
      </c>
      <c r="B54" s="23">
        <v>0</v>
      </c>
      <c r="C54" s="95">
        <v>0</v>
      </c>
      <c r="D54" s="111">
        <v>695.13</v>
      </c>
      <c r="E54" s="77"/>
    </row>
    <row r="55" spans="1:5" ht="15.75" hidden="1" x14ac:dyDescent="0.25">
      <c r="A55" s="110" t="s">
        <v>276</v>
      </c>
      <c r="B55" s="23">
        <v>0</v>
      </c>
      <c r="C55" s="95"/>
      <c r="D55" s="111"/>
      <c r="E55" s="77"/>
    </row>
    <row r="56" spans="1:5" ht="15.75" hidden="1" x14ac:dyDescent="0.25">
      <c r="A56" s="110" t="s">
        <v>277</v>
      </c>
      <c r="B56" s="23">
        <v>0</v>
      </c>
      <c r="C56" s="95">
        <v>0</v>
      </c>
      <c r="D56" s="92">
        <f>10695.76/1.18</f>
        <v>9064.203389830509</v>
      </c>
      <c r="E56" s="77"/>
    </row>
    <row r="57" spans="1:5" ht="15.75" hidden="1" x14ac:dyDescent="0.25">
      <c r="A57" s="110" t="s">
        <v>314</v>
      </c>
      <c r="B57" s="23">
        <v>0</v>
      </c>
      <c r="C57" s="95">
        <v>0</v>
      </c>
      <c r="D57" s="92">
        <f>2300/1.18</f>
        <v>1949.1525423728815</v>
      </c>
      <c r="E57" s="77"/>
    </row>
    <row r="58" spans="1:5" ht="15.75" x14ac:dyDescent="0.25">
      <c r="A58" s="110" t="s">
        <v>542</v>
      </c>
      <c r="B58" s="283">
        <v>4200</v>
      </c>
      <c r="C58" s="93">
        <v>0</v>
      </c>
      <c r="D58" s="92">
        <v>0</v>
      </c>
      <c r="E58" s="77"/>
    </row>
    <row r="59" spans="1:5" ht="16.5" hidden="1" thickBot="1" x14ac:dyDescent="0.3">
      <c r="A59" s="110" t="s">
        <v>279</v>
      </c>
      <c r="B59" s="23">
        <v>0</v>
      </c>
      <c r="C59" s="89"/>
      <c r="D59" s="95"/>
      <c r="E59" s="77"/>
    </row>
    <row r="60" spans="1:5" ht="15.75" hidden="1" x14ac:dyDescent="0.25">
      <c r="A60" s="104" t="s">
        <v>280</v>
      </c>
      <c r="B60" s="23">
        <v>0</v>
      </c>
      <c r="C60" s="90"/>
      <c r="D60" s="92"/>
      <c r="E60" s="77"/>
    </row>
    <row r="61" spans="1:5" ht="15.75" hidden="1" x14ac:dyDescent="0.25">
      <c r="A61" s="104" t="s">
        <v>281</v>
      </c>
      <c r="B61" s="23">
        <v>0</v>
      </c>
      <c r="C61" s="95"/>
      <c r="D61" s="92">
        <v>0</v>
      </c>
      <c r="E61" s="77"/>
    </row>
    <row r="62" spans="1:5" ht="15.75" x14ac:dyDescent="0.25">
      <c r="A62" s="104" t="s">
        <v>540</v>
      </c>
      <c r="B62" s="23">
        <v>9968.27</v>
      </c>
      <c r="C62" s="95"/>
      <c r="D62" s="92">
        <v>0</v>
      </c>
      <c r="E62" s="77"/>
    </row>
    <row r="63" spans="1:5" ht="16.5" thickBot="1" x14ac:dyDescent="0.3">
      <c r="A63" s="104" t="s">
        <v>341</v>
      </c>
      <c r="B63" s="229">
        <v>12927.97</v>
      </c>
      <c r="C63" s="113">
        <v>1</v>
      </c>
      <c r="D63" s="92">
        <v>0</v>
      </c>
      <c r="E63" s="77"/>
    </row>
    <row r="64" spans="1:5" ht="16.5" hidden="1" thickBot="1" x14ac:dyDescent="0.3">
      <c r="A64" s="104" t="s">
        <v>284</v>
      </c>
      <c r="B64" s="229">
        <v>0</v>
      </c>
      <c r="C64" s="114">
        <v>34</v>
      </c>
      <c r="D64" s="95">
        <v>2</v>
      </c>
      <c r="E64" s="77">
        <v>1</v>
      </c>
    </row>
    <row r="65" spans="1:4" s="79" customFormat="1" ht="16.5" hidden="1" thickBot="1" x14ac:dyDescent="0.3">
      <c r="A65" s="104" t="s">
        <v>285</v>
      </c>
      <c r="B65" s="229">
        <v>0</v>
      </c>
      <c r="C65" s="115">
        <v>34</v>
      </c>
      <c r="D65" s="108">
        <f>650/1.18</f>
        <v>550.84745762711873</v>
      </c>
    </row>
    <row r="66" spans="1:4" s="79" customFormat="1" ht="16.5" thickBot="1" x14ac:dyDescent="0.3">
      <c r="A66" s="116" t="s">
        <v>286</v>
      </c>
      <c r="B66" s="208">
        <f>SUM(B67:B74)</f>
        <v>111290.85129869448</v>
      </c>
      <c r="C66" s="89"/>
      <c r="D66" s="93"/>
    </row>
    <row r="67" spans="1:4" ht="16.5" hidden="1" thickBot="1" x14ac:dyDescent="0.3">
      <c r="A67" s="104" t="s">
        <v>287</v>
      </c>
      <c r="B67" s="23">
        <v>0</v>
      </c>
      <c r="C67" s="98"/>
      <c r="D67" s="108"/>
    </row>
    <row r="68" spans="1:4" ht="16.5" thickBot="1" x14ac:dyDescent="0.3">
      <c r="A68" s="104" t="s">
        <v>288</v>
      </c>
      <c r="B68" s="23">
        <f>41772*1.04*1.1194</f>
        <v>48629.959871999999</v>
      </c>
      <c r="C68" s="89"/>
      <c r="D68" s="93"/>
    </row>
    <row r="69" spans="1:4" ht="15.75" hidden="1" x14ac:dyDescent="0.25">
      <c r="A69" s="104" t="s">
        <v>289</v>
      </c>
      <c r="B69" s="23">
        <v>0</v>
      </c>
      <c r="C69" s="98"/>
      <c r="D69" s="108"/>
    </row>
    <row r="70" spans="1:4" ht="16.5" thickBot="1" x14ac:dyDescent="0.3">
      <c r="A70" s="109" t="s">
        <v>290</v>
      </c>
      <c r="B70" s="23">
        <f>'[3]34тарифы'!D164*B13*1.1194</f>
        <v>1800.3157224790966</v>
      </c>
      <c r="C70" s="93"/>
      <c r="D70" s="108"/>
    </row>
    <row r="71" spans="1:4" ht="15.75" x14ac:dyDescent="0.25">
      <c r="A71" s="109" t="s">
        <v>291</v>
      </c>
      <c r="B71" s="23">
        <f>VLOOKUP(A71,[2]Лист1!S$1:T$65536,2,FALSE)*B15</f>
        <v>7068.2420580533362</v>
      </c>
      <c r="C71" s="117"/>
      <c r="D71" s="93"/>
    </row>
    <row r="72" spans="1:4" ht="15.75" x14ac:dyDescent="0.25">
      <c r="A72" s="109" t="s">
        <v>292</v>
      </c>
      <c r="B72" s="23">
        <f>VLOOKUP(A72,[2]Лист1!S$1:T$65536,2,FALSE)*B15</f>
        <v>24673.963534162049</v>
      </c>
      <c r="C72" s="108"/>
      <c r="D72" s="93"/>
    </row>
    <row r="73" spans="1:4" ht="15.75" x14ac:dyDescent="0.25">
      <c r="A73" s="41" t="s">
        <v>293</v>
      </c>
      <c r="B73" s="23">
        <f>2648*1.04*1.1194</f>
        <v>3082.7380480000002</v>
      </c>
      <c r="C73" s="108"/>
      <c r="D73" s="93"/>
    </row>
    <row r="74" spans="1:4" ht="15.75" x14ac:dyDescent="0.25">
      <c r="A74" s="109" t="s">
        <v>294</v>
      </c>
      <c r="B74" s="23">
        <f>22364*1.04*1.1194</f>
        <v>26035.632064000001</v>
      </c>
      <c r="C74" s="108"/>
      <c r="D74" s="93"/>
    </row>
    <row r="75" spans="1:4" ht="47.25" x14ac:dyDescent="0.25">
      <c r="A75" s="118" t="s">
        <v>328</v>
      </c>
      <c r="B75" s="208">
        <f>SUM(B76:B76)</f>
        <v>49619.797605875574</v>
      </c>
      <c r="C75" s="108"/>
      <c r="D75" s="93"/>
    </row>
    <row r="76" spans="1:4" ht="15.75" x14ac:dyDescent="0.25">
      <c r="A76" s="109" t="s">
        <v>296</v>
      </c>
      <c r="B76" s="23">
        <f>'[3]34ОЭР'!D165*1.1194</f>
        <v>49619.797605875574</v>
      </c>
      <c r="C76" s="108"/>
      <c r="D76" s="93"/>
    </row>
    <row r="77" spans="1:4" s="79" customFormat="1" ht="15.75" x14ac:dyDescent="0.25">
      <c r="A77" s="116" t="s">
        <v>297</v>
      </c>
      <c r="B77" s="208">
        <f>SUM(B78:B81)</f>
        <v>49584.214474627224</v>
      </c>
      <c r="C77" s="108"/>
      <c r="D77" s="93"/>
    </row>
    <row r="78" spans="1:4" ht="32.25" thickBot="1" x14ac:dyDescent="0.3">
      <c r="A78" s="119" t="s">
        <v>329</v>
      </c>
      <c r="B78" s="23">
        <f>'[3]34тарифы'!D170*B15*1.1194</f>
        <v>36864.105741512722</v>
      </c>
      <c r="C78" s="96"/>
      <c r="D78" s="93"/>
    </row>
    <row r="79" spans="1:4" ht="16.5" thickBot="1" x14ac:dyDescent="0.3">
      <c r="A79" s="51" t="s">
        <v>299</v>
      </c>
      <c r="B79" s="23">
        <f>(B26/1.2)*30%</f>
        <v>3298.1224999999999</v>
      </c>
      <c r="C79" s="98"/>
      <c r="D79" s="108"/>
    </row>
    <row r="80" spans="1:4" ht="15.75" x14ac:dyDescent="0.25">
      <c r="A80" s="120" t="s">
        <v>330</v>
      </c>
      <c r="B80" s="23">
        <f>3019.25+3197.72</f>
        <v>6216.9699999999993</v>
      </c>
      <c r="C80" s="117"/>
      <c r="D80" s="93"/>
    </row>
    <row r="81" spans="1:4" ht="15.75" x14ac:dyDescent="0.25">
      <c r="A81" s="120" t="s">
        <v>331</v>
      </c>
      <c r="B81" s="23">
        <f>'[3]34тарифы'!D173*B13*1.1194</f>
        <v>3205.0162331145002</v>
      </c>
      <c r="C81" s="108"/>
      <c r="D81" s="93"/>
    </row>
    <row r="82" spans="1:4" ht="15.75" x14ac:dyDescent="0.25">
      <c r="A82" s="121" t="s">
        <v>302</v>
      </c>
      <c r="B82" s="28">
        <f>B32+B42+B46+B66+B75+B77</f>
        <v>336026.60272316384</v>
      </c>
      <c r="C82" s="108"/>
      <c r="D82" s="93"/>
    </row>
    <row r="83" spans="1:4" ht="15.75" x14ac:dyDescent="0.25">
      <c r="A83" s="122" t="s">
        <v>303</v>
      </c>
      <c r="B83" s="23">
        <f>B82*0.03</f>
        <v>10080.798081694915</v>
      </c>
      <c r="C83" s="108"/>
      <c r="D83" s="93"/>
    </row>
    <row r="84" spans="1:4" s="103" customFormat="1" ht="15.75" x14ac:dyDescent="0.25">
      <c r="A84" s="123" t="s">
        <v>304</v>
      </c>
      <c r="B84" s="208">
        <f>B82+B83</f>
        <v>346107.40080485877</v>
      </c>
      <c r="C84" s="108"/>
      <c r="D84" s="93"/>
    </row>
    <row r="85" spans="1:4" ht="16.5" thickBot="1" x14ac:dyDescent="0.3">
      <c r="A85" s="124" t="s">
        <v>305</v>
      </c>
      <c r="B85" s="240">
        <f>B84*0.2</f>
        <v>69221.480160971754</v>
      </c>
      <c r="C85" s="108"/>
      <c r="D85" s="93"/>
    </row>
    <row r="86" spans="1:4" s="79" customFormat="1" ht="16.5" thickBot="1" x14ac:dyDescent="0.3">
      <c r="A86" s="125" t="s">
        <v>306</v>
      </c>
      <c r="B86" s="66">
        <f>B84+B85</f>
        <v>415328.88096583053</v>
      </c>
      <c r="C86" s="89"/>
      <c r="D86" s="126"/>
    </row>
    <row r="87" spans="1:4" s="79" customFormat="1" ht="16.5" thickBot="1" x14ac:dyDescent="0.3">
      <c r="A87" s="127" t="s">
        <v>307</v>
      </c>
      <c r="B87" s="296">
        <f>B10+B24+B26+B28+B29-B86</f>
        <v>-405266.87096583052</v>
      </c>
      <c r="C87" s="128"/>
      <c r="D87" s="129"/>
    </row>
    <row r="88" spans="1:4" s="79" customFormat="1" ht="16.5" thickBot="1" x14ac:dyDescent="0.3">
      <c r="A88" s="130" t="s">
        <v>308</v>
      </c>
      <c r="B88" s="66">
        <f>B10+B25+B27+B28+B29-B86</f>
        <v>-383560.98096583056</v>
      </c>
      <c r="C88" s="131"/>
      <c r="D88" s="129"/>
    </row>
    <row r="89" spans="1:4" s="79" customFormat="1" ht="16.5" hidden="1" thickBot="1" x14ac:dyDescent="0.3">
      <c r="A89" s="132" t="s">
        <v>309</v>
      </c>
      <c r="B89" s="66">
        <f>B11+B24-B25</f>
        <v>-15495.27999999997</v>
      </c>
      <c r="C89" s="129"/>
      <c r="D89" s="129"/>
    </row>
    <row r="90" spans="1:4" s="79" customFormat="1" ht="15.75" x14ac:dyDescent="0.25">
      <c r="A90" s="133"/>
      <c r="B90" s="242"/>
      <c r="C90" s="129"/>
      <c r="D90" s="129"/>
    </row>
    <row r="91" spans="1:4" ht="15.75" x14ac:dyDescent="0.25">
      <c r="A91" s="134"/>
      <c r="B91" s="3"/>
      <c r="C91" s="77"/>
      <c r="D91" s="77"/>
    </row>
    <row r="92" spans="1:4" ht="15.75" x14ac:dyDescent="0.25">
      <c r="A92" s="323" t="s">
        <v>332</v>
      </c>
      <c r="B92" s="323"/>
      <c r="C92" s="77"/>
      <c r="D92" s="77"/>
    </row>
    <row r="93" spans="1:4" ht="15.75" x14ac:dyDescent="0.25">
      <c r="A93" s="134"/>
      <c r="B93" s="3"/>
      <c r="C93" s="77"/>
      <c r="D93" s="77"/>
    </row>
    <row r="94" spans="1:4" ht="15.75" hidden="1" x14ac:dyDescent="0.25">
      <c r="A94" s="324" t="s">
        <v>333</v>
      </c>
      <c r="B94" s="324"/>
      <c r="C94" s="135"/>
      <c r="D94" s="77"/>
    </row>
    <row r="95" spans="1:4" ht="15.75" x14ac:dyDescent="0.25">
      <c r="A95" s="77"/>
      <c r="B95" s="3"/>
      <c r="C95" s="77"/>
      <c r="D95" s="77"/>
    </row>
  </sheetData>
  <autoFilter ref="A31:G89" xr:uid="{00000000-0009-0000-0000-00002E000000}">
    <filterColumn colId="1">
      <filters>
        <filter val="1 800,32"/>
        <filter val="111 290,85"/>
        <filter val="12 530,06"/>
        <filter val="12 569,69"/>
        <filter val="130,80"/>
        <filter val="14 019,73"/>
        <filter val="-15 495,28"/>
        <filter val="18 494,64"/>
        <filter val="2 394,00"/>
        <filter val="2 907,00"/>
        <filter val="24 673,96"/>
        <filter val="26 035,63"/>
        <filter val="-265 376,47"/>
        <filter val="27 403,51"/>
        <filter val="-287 082,36"/>
        <filter val="29 610,45"/>
        <filter val="3 082,74"/>
        <filter val="3 205,02"/>
        <filter val="3 298,12"/>
        <filter val="3 421,76"/>
        <filter val="330 450,75"/>
        <filter val="340 364,28"/>
        <filter val="36 864,11"/>
        <filter val="4 180,65"/>
        <filter val="4 688,49"/>
        <filter val="408 437,13"/>
        <filter val="41 383,51"/>
        <filter val="48 629,96"/>
        <filter val="49 035,42"/>
        <filter val="49 619,80"/>
        <filter val="5 668,18"/>
        <filter val="51 717,66"/>
        <filter val="6 019,89"/>
        <filter val="68 072,86"/>
        <filter val="7 068,24"/>
        <filter val="9 537,52"/>
        <filter val="9 913,52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77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filterMode="1">
    <pageSetUpPr fitToPage="1"/>
  </sheetPr>
  <dimension ref="A1:G95"/>
  <sheetViews>
    <sheetView view="pageBreakPreview" topLeftCell="A42" zoomScale="80" zoomScaleNormal="100" zoomScaleSheetLayoutView="80" workbookViewId="0">
      <selection activeCell="B81" sqref="B81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25" t="s">
        <v>224</v>
      </c>
      <c r="B1" s="325"/>
      <c r="C1" s="77"/>
      <c r="D1" s="77"/>
    </row>
    <row r="2" spans="1:4" ht="16.5" x14ac:dyDescent="0.25">
      <c r="A2" s="326" t="s">
        <v>225</v>
      </c>
      <c r="B2" s="326"/>
      <c r="C2" s="77"/>
      <c r="D2" s="77"/>
    </row>
    <row r="3" spans="1:4" ht="16.5" x14ac:dyDescent="0.25">
      <c r="A3" s="326" t="s">
        <v>226</v>
      </c>
      <c r="B3" s="326"/>
      <c r="C3" s="77"/>
      <c r="D3" s="77"/>
    </row>
    <row r="4" spans="1:4" ht="15.75" x14ac:dyDescent="0.25">
      <c r="A4" s="78" t="s">
        <v>516</v>
      </c>
      <c r="B4" s="78"/>
      <c r="C4" s="77"/>
      <c r="D4" s="77"/>
    </row>
    <row r="5" spans="1:4" ht="15.75" x14ac:dyDescent="0.25">
      <c r="A5" s="78" t="s">
        <v>140</v>
      </c>
      <c r="B5" s="78"/>
      <c r="C5" s="77"/>
      <c r="D5" s="77"/>
    </row>
    <row r="6" spans="1:4" ht="5.25" customHeight="1" x14ac:dyDescent="0.25">
      <c r="A6" s="78"/>
      <c r="B6" s="8"/>
      <c r="C6" s="79"/>
      <c r="D6" s="77"/>
    </row>
    <row r="7" spans="1:4" ht="16.5" thickBot="1" x14ac:dyDescent="0.3">
      <c r="A7" s="80"/>
      <c r="B7" s="8"/>
      <c r="C7" s="79"/>
      <c r="D7" s="77"/>
    </row>
    <row r="8" spans="1:4" ht="15.75" customHeight="1" x14ac:dyDescent="0.2">
      <c r="A8" s="327" t="s">
        <v>227</v>
      </c>
      <c r="B8" s="329" t="s">
        <v>228</v>
      </c>
      <c r="C8" s="331" t="s">
        <v>229</v>
      </c>
      <c r="D8" s="321" t="s">
        <v>230</v>
      </c>
    </row>
    <row r="9" spans="1:4" ht="28.5" customHeight="1" thickBot="1" x14ac:dyDescent="0.25">
      <c r="A9" s="328"/>
      <c r="B9" s="330"/>
      <c r="C9" s="332"/>
      <c r="D9" s="322"/>
    </row>
    <row r="10" spans="1:4" ht="16.5" thickBot="1" x14ac:dyDescent="0.25">
      <c r="A10" s="81" t="s">
        <v>231</v>
      </c>
      <c r="B10" s="302">
        <f>VLOOKUP(A5,мкд!S:T,2,FALSE)</f>
        <v>-156451.1</v>
      </c>
      <c r="C10" s="83"/>
      <c r="D10" s="84"/>
    </row>
    <row r="11" spans="1:4" ht="16.5" hidden="1" thickBot="1" x14ac:dyDescent="0.25">
      <c r="A11" s="85" t="s">
        <v>232</v>
      </c>
      <c r="B11" s="210"/>
      <c r="C11" s="84"/>
      <c r="D11" s="86"/>
    </row>
    <row r="12" spans="1:4" ht="16.5" thickBot="1" x14ac:dyDescent="0.3">
      <c r="A12" s="87" t="s">
        <v>233</v>
      </c>
      <c r="B12" s="217"/>
      <c r="C12" s="89" t="s">
        <v>234</v>
      </c>
      <c r="D12" s="90" t="s">
        <v>234</v>
      </c>
    </row>
    <row r="13" spans="1:4" ht="16.5" hidden="1" thickBot="1" x14ac:dyDescent="0.3">
      <c r="A13" s="91" t="s">
        <v>235</v>
      </c>
      <c r="B13" s="23">
        <v>2055.5</v>
      </c>
      <c r="C13" s="90" t="s">
        <v>234</v>
      </c>
      <c r="D13" s="92" t="s">
        <v>234</v>
      </c>
    </row>
    <row r="14" spans="1:4" ht="16.5" hidden="1" thickBot="1" x14ac:dyDescent="0.3">
      <c r="A14" s="91" t="s">
        <v>236</v>
      </c>
      <c r="B14" s="23">
        <v>0</v>
      </c>
      <c r="C14" s="93"/>
      <c r="D14" s="92"/>
    </row>
    <row r="15" spans="1:4" ht="16.5" hidden="1" thickBot="1" x14ac:dyDescent="0.3">
      <c r="A15" s="91" t="s">
        <v>237</v>
      </c>
      <c r="B15" s="23">
        <f>B13+B14</f>
        <v>2055.5</v>
      </c>
      <c r="C15" s="94"/>
      <c r="D15" s="95"/>
    </row>
    <row r="16" spans="1:4" ht="16.5" hidden="1" thickBot="1" x14ac:dyDescent="0.3">
      <c r="A16" s="91" t="s">
        <v>238</v>
      </c>
      <c r="B16" s="23">
        <f>529.7+1688.4/3</f>
        <v>1092.5</v>
      </c>
      <c r="C16" s="96" t="s">
        <v>234</v>
      </c>
      <c r="D16" s="95" t="s">
        <v>234</v>
      </c>
    </row>
    <row r="17" spans="1:7" ht="16.5" hidden="1" thickBot="1" x14ac:dyDescent="0.3">
      <c r="A17" s="91" t="s">
        <v>239</v>
      </c>
      <c r="B17" s="23">
        <v>0</v>
      </c>
      <c r="C17" s="90" t="s">
        <v>234</v>
      </c>
      <c r="D17" s="92" t="s">
        <v>234</v>
      </c>
      <c r="E17" s="77"/>
      <c r="F17" s="77"/>
      <c r="G17" s="77"/>
    </row>
    <row r="18" spans="1:7" ht="16.5" hidden="1" thickBot="1" x14ac:dyDescent="0.3">
      <c r="A18" s="91" t="s">
        <v>240</v>
      </c>
      <c r="B18" s="23">
        <v>641.70000000000005</v>
      </c>
      <c r="C18" s="95" t="s">
        <v>234</v>
      </c>
      <c r="D18" s="92" t="s">
        <v>234</v>
      </c>
      <c r="E18" s="77"/>
      <c r="F18" s="77"/>
      <c r="G18" s="77"/>
    </row>
    <row r="19" spans="1:7" ht="16.5" hidden="1" thickBot="1" x14ac:dyDescent="0.3">
      <c r="A19" s="91" t="s">
        <v>241</v>
      </c>
      <c r="B19" s="23">
        <v>0</v>
      </c>
      <c r="C19" s="95" t="s">
        <v>234</v>
      </c>
      <c r="D19" s="92" t="s">
        <v>234</v>
      </c>
      <c r="E19" s="77"/>
      <c r="F19" s="77"/>
      <c r="G19" s="77"/>
    </row>
    <row r="20" spans="1:7" ht="16.5" hidden="1" thickBot="1" x14ac:dyDescent="0.3">
      <c r="A20" s="91" t="s">
        <v>242</v>
      </c>
      <c r="B20" s="23">
        <v>826</v>
      </c>
      <c r="C20" s="95"/>
      <c r="D20" s="92"/>
      <c r="E20" s="77"/>
      <c r="F20" s="77"/>
      <c r="G20" s="77"/>
    </row>
    <row r="21" spans="1:7" ht="16.5" hidden="1" thickBot="1" x14ac:dyDescent="0.3">
      <c r="A21" s="91" t="s">
        <v>243</v>
      </c>
      <c r="B21" s="23">
        <v>0</v>
      </c>
      <c r="C21" s="95" t="s">
        <v>234</v>
      </c>
      <c r="D21" s="92" t="s">
        <v>234</v>
      </c>
      <c r="E21" s="77"/>
      <c r="F21" s="77"/>
      <c r="G21" s="77"/>
    </row>
    <row r="22" spans="1:7" ht="16.5" hidden="1" thickBot="1" x14ac:dyDescent="0.3">
      <c r="A22" s="91" t="s">
        <v>244</v>
      </c>
      <c r="B22" s="23">
        <v>117</v>
      </c>
      <c r="C22" s="93"/>
      <c r="D22" s="92"/>
      <c r="E22" s="77"/>
      <c r="F22" s="77"/>
      <c r="G22" s="77"/>
    </row>
    <row r="23" spans="1:7" ht="15.75" x14ac:dyDescent="0.25">
      <c r="A23" s="91"/>
      <c r="B23" s="23"/>
      <c r="C23" s="94"/>
      <c r="D23" s="95"/>
      <c r="E23" s="77"/>
      <c r="F23" s="77"/>
      <c r="G23" s="77"/>
    </row>
    <row r="24" spans="1:7" ht="15.75" x14ac:dyDescent="0.25">
      <c r="A24" s="97" t="s">
        <v>319</v>
      </c>
      <c r="B24" s="28">
        <f>VLOOKUP(A5,[2]Лист1!M$1:N$65536,2,FALSE)</f>
        <v>362491.12</v>
      </c>
      <c r="C24" s="92"/>
      <c r="D24" s="95"/>
      <c r="E24" s="26">
        <v>14.459999999999999</v>
      </c>
      <c r="F24" s="256">
        <v>16.186523999999999</v>
      </c>
      <c r="G24" s="77"/>
    </row>
    <row r="25" spans="1:7" ht="16.5" thickBot="1" x14ac:dyDescent="0.3">
      <c r="A25" s="97" t="s">
        <v>320</v>
      </c>
      <c r="B25" s="28">
        <f>VLOOKUP(A5,[2]Лист1!M$1:O$65536,3,FALSE)</f>
        <v>338480.57</v>
      </c>
      <c r="C25" s="96"/>
      <c r="D25" s="95"/>
      <c r="E25" s="77"/>
      <c r="F25" s="77"/>
      <c r="G25" s="77"/>
    </row>
    <row r="26" spans="1:7" ht="15.75" x14ac:dyDescent="0.25">
      <c r="A26" s="97" t="s">
        <v>321</v>
      </c>
      <c r="B26" s="28"/>
      <c r="C26" s="90"/>
      <c r="D26" s="92"/>
      <c r="E26" s="77"/>
      <c r="F26" s="77"/>
      <c r="G26" s="77"/>
    </row>
    <row r="27" spans="1:7" ht="16.5" thickBot="1" x14ac:dyDescent="0.3">
      <c r="A27" s="97" t="s">
        <v>248</v>
      </c>
      <c r="B27" s="28">
        <f>B26</f>
        <v>0</v>
      </c>
      <c r="C27" s="93"/>
      <c r="D27" s="92"/>
      <c r="E27" s="77"/>
      <c r="F27" s="77"/>
      <c r="G27" s="77"/>
    </row>
    <row r="28" spans="1:7" ht="16.5" thickBot="1" x14ac:dyDescent="0.3">
      <c r="A28" s="97" t="s">
        <v>249</v>
      </c>
      <c r="B28" s="28">
        <v>7611.96</v>
      </c>
      <c r="C28" s="89"/>
      <c r="D28" s="95"/>
      <c r="E28" s="77"/>
      <c r="F28" s="77"/>
      <c r="G28" s="77"/>
    </row>
    <row r="29" spans="1:7" ht="16.5" hidden="1" thickBot="1" x14ac:dyDescent="0.3">
      <c r="A29" s="97" t="s">
        <v>250</v>
      </c>
      <c r="B29" s="28"/>
      <c r="C29" s="98"/>
      <c r="D29" s="92"/>
      <c r="E29" s="77"/>
      <c r="F29" s="77"/>
      <c r="G29" s="77"/>
    </row>
    <row r="30" spans="1:7" ht="15.75" x14ac:dyDescent="0.25">
      <c r="A30" s="99"/>
      <c r="B30" s="23"/>
      <c r="C30" s="94"/>
      <c r="D30" s="95"/>
      <c r="E30" s="77"/>
      <c r="F30" s="77"/>
      <c r="G30" s="77"/>
    </row>
    <row r="31" spans="1:7" ht="15.75" x14ac:dyDescent="0.25">
      <c r="A31" s="100" t="s">
        <v>251</v>
      </c>
      <c r="B31" s="23"/>
      <c r="C31" s="92"/>
      <c r="D31" s="95"/>
      <c r="E31" s="77"/>
      <c r="F31" s="77"/>
      <c r="G31" s="77"/>
    </row>
    <row r="32" spans="1:7" s="103" customFormat="1" ht="31.5" x14ac:dyDescent="0.25">
      <c r="A32" s="101" t="s">
        <v>252</v>
      </c>
      <c r="B32" s="208">
        <f>SUM(B33:B41)</f>
        <v>20702.900016</v>
      </c>
      <c r="C32" s="92"/>
      <c r="D32" s="95"/>
      <c r="E32" s="102">
        <f>(B86-B26-B24)/1.2/1.03</f>
        <v>37089.631870595724</v>
      </c>
      <c r="F32" s="102" t="e">
        <f>(#REF!-#REF!-#REF!)/1.2/1.03</f>
        <v>#REF!</v>
      </c>
      <c r="G32" s="102" t="e">
        <f>(#REF!-#REF!-#REF!)/1.2/1.03</f>
        <v>#REF!</v>
      </c>
    </row>
    <row r="33" spans="1:7" ht="16.5" thickBot="1" x14ac:dyDescent="0.3">
      <c r="A33" s="104" t="s">
        <v>253</v>
      </c>
      <c r="B33" s="23">
        <f>18494.64*1.1194</f>
        <v>20702.900016</v>
      </c>
      <c r="C33" s="96"/>
      <c r="D33" s="95">
        <v>17557.009999999998</v>
      </c>
      <c r="E33" s="77"/>
      <c r="F33" s="77"/>
      <c r="G33" s="77"/>
    </row>
    <row r="34" spans="1:7" ht="16.5" hidden="1" thickBot="1" x14ac:dyDescent="0.3">
      <c r="A34" s="104" t="s">
        <v>322</v>
      </c>
      <c r="B34" s="23"/>
      <c r="C34" s="90"/>
      <c r="D34" s="92">
        <v>0</v>
      </c>
      <c r="E34" s="77"/>
      <c r="F34" s="77"/>
      <c r="G34" s="77"/>
    </row>
    <row r="35" spans="1:7" ht="16.5" hidden="1" thickBot="1" x14ac:dyDescent="0.3">
      <c r="A35" s="104" t="s">
        <v>256</v>
      </c>
      <c r="B35" s="23">
        <v>0</v>
      </c>
      <c r="C35" s="95"/>
      <c r="D35" s="92">
        <v>0</v>
      </c>
      <c r="E35" s="77"/>
      <c r="F35" s="77"/>
      <c r="G35" s="77"/>
    </row>
    <row r="36" spans="1:7" ht="16.5" hidden="1" thickBot="1" x14ac:dyDescent="0.3">
      <c r="A36" s="104" t="s">
        <v>255</v>
      </c>
      <c r="B36" s="23"/>
      <c r="C36" s="95" t="s">
        <v>234</v>
      </c>
      <c r="D36" s="92">
        <v>0</v>
      </c>
      <c r="E36" s="77"/>
      <c r="F36" s="77"/>
      <c r="G36" s="77"/>
    </row>
    <row r="37" spans="1:7" ht="16.5" hidden="1" thickBot="1" x14ac:dyDescent="0.3">
      <c r="A37" s="104" t="s">
        <v>257</v>
      </c>
      <c r="B37" s="23">
        <v>0</v>
      </c>
      <c r="C37" s="95"/>
      <c r="D37" s="92">
        <v>0</v>
      </c>
      <c r="E37" s="77"/>
      <c r="F37" s="77"/>
      <c r="G37" s="77"/>
    </row>
    <row r="38" spans="1:7" ht="16.5" hidden="1" thickBot="1" x14ac:dyDescent="0.3">
      <c r="A38" s="104" t="s">
        <v>258</v>
      </c>
      <c r="B38" s="23">
        <v>0</v>
      </c>
      <c r="C38" s="95"/>
      <c r="D38" s="92">
        <v>0</v>
      </c>
      <c r="E38" s="77"/>
      <c r="F38" s="77"/>
      <c r="G38" s="77"/>
    </row>
    <row r="39" spans="1:7" ht="16.5" hidden="1" thickBot="1" x14ac:dyDescent="0.3">
      <c r="A39" s="104" t="s">
        <v>324</v>
      </c>
      <c r="B39" s="23">
        <v>0</v>
      </c>
      <c r="C39" s="95"/>
      <c r="D39" s="92">
        <v>0</v>
      </c>
      <c r="E39" s="77"/>
      <c r="F39" s="77"/>
      <c r="G39" s="77"/>
    </row>
    <row r="40" spans="1:7" ht="16.5" hidden="1" thickBot="1" x14ac:dyDescent="0.3">
      <c r="A40" s="104" t="s">
        <v>312</v>
      </c>
      <c r="B40" s="23">
        <v>0</v>
      </c>
      <c r="C40" s="95"/>
      <c r="D40" s="92"/>
      <c r="E40" s="77"/>
      <c r="F40" s="77"/>
      <c r="G40" s="77"/>
    </row>
    <row r="41" spans="1:7" ht="16.5" hidden="1" thickBot="1" x14ac:dyDescent="0.3">
      <c r="A41" s="104" t="s">
        <v>257</v>
      </c>
      <c r="B41" s="23"/>
      <c r="C41" s="93"/>
      <c r="D41" s="92"/>
      <c r="E41" s="77"/>
      <c r="F41" s="77"/>
      <c r="G41" s="77"/>
    </row>
    <row r="42" spans="1:7" s="103" customFormat="1" ht="48" thickBot="1" x14ac:dyDescent="0.3">
      <c r="A42" s="101" t="s">
        <v>325</v>
      </c>
      <c r="B42" s="208">
        <f>SUM(B43:B45)</f>
        <v>16236.4125753601</v>
      </c>
      <c r="C42" s="89"/>
      <c r="D42" s="95"/>
      <c r="E42" s="102"/>
      <c r="F42" s="102"/>
      <c r="G42" s="102"/>
    </row>
    <row r="43" spans="1:7" ht="15.75" x14ac:dyDescent="0.25">
      <c r="A43" s="104" t="s">
        <v>262</v>
      </c>
      <c r="B43" s="23">
        <v>1482.2199999999998</v>
      </c>
      <c r="C43" s="98"/>
      <c r="D43" s="108"/>
      <c r="E43" s="77"/>
      <c r="F43" s="77"/>
      <c r="G43" s="77"/>
    </row>
    <row r="44" spans="1:7" ht="15.75" x14ac:dyDescent="0.25">
      <c r="A44" s="104" t="s">
        <v>263</v>
      </c>
      <c r="B44" s="23">
        <v>2428.2399999999998</v>
      </c>
      <c r="C44" s="93"/>
      <c r="D44" s="108"/>
      <c r="E44" s="77"/>
      <c r="F44" s="77"/>
      <c r="G44" s="77"/>
    </row>
    <row r="45" spans="1:7" ht="16.5" thickBot="1" x14ac:dyDescent="0.3">
      <c r="A45" s="109" t="s">
        <v>264</v>
      </c>
      <c r="B45" s="23">
        <f>('[3]34тарифы'!D163*B15+105.83)*1.1194</f>
        <v>12325.952575360101</v>
      </c>
      <c r="C45" s="93"/>
      <c r="D45" s="108"/>
      <c r="E45" s="77"/>
      <c r="F45" s="77"/>
      <c r="G45" s="77"/>
    </row>
    <row r="46" spans="1:7" s="79" customFormat="1" ht="16.5" thickBot="1" x14ac:dyDescent="0.3">
      <c r="A46" s="101" t="s">
        <v>265</v>
      </c>
      <c r="B46" s="208">
        <f>SUM(B47:B65)</f>
        <v>29556.29</v>
      </c>
      <c r="C46" s="89"/>
      <c r="D46" s="95"/>
    </row>
    <row r="47" spans="1:7" ht="15.75" x14ac:dyDescent="0.25">
      <c r="A47" s="104" t="s">
        <v>326</v>
      </c>
      <c r="B47" s="283">
        <v>2695.08</v>
      </c>
      <c r="C47" s="90"/>
      <c r="D47" s="92"/>
      <c r="E47" s="77" t="s">
        <v>267</v>
      </c>
      <c r="F47" s="77"/>
      <c r="G47" s="77"/>
    </row>
    <row r="48" spans="1:7" ht="15.75" x14ac:dyDescent="0.25">
      <c r="A48" s="104" t="s">
        <v>317</v>
      </c>
      <c r="B48" s="283">
        <v>3272.7</v>
      </c>
      <c r="C48" s="95"/>
      <c r="D48" s="92"/>
      <c r="E48" s="77" t="s">
        <v>269</v>
      </c>
      <c r="F48" s="77"/>
      <c r="G48" s="77"/>
    </row>
    <row r="49" spans="1:5" ht="15.75" x14ac:dyDescent="0.25">
      <c r="A49" s="110" t="s">
        <v>362</v>
      </c>
      <c r="B49" s="229">
        <v>68.72</v>
      </c>
      <c r="C49" s="95"/>
      <c r="D49" s="92"/>
      <c r="E49" s="77"/>
    </row>
    <row r="50" spans="1:5" ht="15.75" hidden="1" x14ac:dyDescent="0.25">
      <c r="A50" s="110" t="s">
        <v>271</v>
      </c>
      <c r="B50" s="23">
        <v>0</v>
      </c>
      <c r="C50" s="95"/>
      <c r="D50" s="92">
        <v>4190</v>
      </c>
      <c r="E50" s="77"/>
    </row>
    <row r="51" spans="1:5" ht="15.75" hidden="1" x14ac:dyDescent="0.25">
      <c r="A51" s="110" t="s">
        <v>272</v>
      </c>
      <c r="B51" s="23">
        <v>0</v>
      </c>
      <c r="C51" s="95"/>
      <c r="D51" s="92"/>
      <c r="E51" s="77"/>
    </row>
    <row r="52" spans="1:5" ht="15.75" hidden="1" x14ac:dyDescent="0.25">
      <c r="A52" s="110" t="s">
        <v>273</v>
      </c>
      <c r="B52" s="23">
        <f>B21*'[3]34тарифы'!D177</f>
        <v>0</v>
      </c>
      <c r="C52" s="95"/>
      <c r="D52" s="92">
        <v>105.14</v>
      </c>
      <c r="E52" s="77"/>
    </row>
    <row r="53" spans="1:5" ht="15.75" hidden="1" x14ac:dyDescent="0.25">
      <c r="A53" s="110" t="s">
        <v>274</v>
      </c>
      <c r="B53" s="23">
        <v>0</v>
      </c>
      <c r="C53" s="95">
        <v>0</v>
      </c>
      <c r="D53" s="92">
        <v>522.99</v>
      </c>
      <c r="E53" s="77"/>
    </row>
    <row r="54" spans="1:5" ht="15.75" hidden="1" x14ac:dyDescent="0.25">
      <c r="A54" s="110" t="s">
        <v>275</v>
      </c>
      <c r="B54" s="23">
        <v>0</v>
      </c>
      <c r="C54" s="95">
        <v>0</v>
      </c>
      <c r="D54" s="111">
        <v>695.13</v>
      </c>
      <c r="E54" s="77"/>
    </row>
    <row r="55" spans="1:5" ht="15.75" hidden="1" x14ac:dyDescent="0.25">
      <c r="A55" s="110" t="s">
        <v>276</v>
      </c>
      <c r="B55" s="23">
        <v>0</v>
      </c>
      <c r="C55" s="95"/>
      <c r="D55" s="111"/>
      <c r="E55" s="77"/>
    </row>
    <row r="56" spans="1:5" ht="15.75" hidden="1" x14ac:dyDescent="0.25">
      <c r="A56" s="110" t="s">
        <v>277</v>
      </c>
      <c r="B56" s="23">
        <v>0</v>
      </c>
      <c r="C56" s="95">
        <v>0</v>
      </c>
      <c r="D56" s="92">
        <f>10695.76/1.18</f>
        <v>9064.203389830509</v>
      </c>
      <c r="E56" s="77"/>
    </row>
    <row r="57" spans="1:5" ht="15.75" x14ac:dyDescent="0.25">
      <c r="A57" s="110" t="s">
        <v>540</v>
      </c>
      <c r="B57" s="283">
        <v>6210.38</v>
      </c>
      <c r="C57" s="95">
        <v>0</v>
      </c>
      <c r="D57" s="92">
        <f>2300/1.18</f>
        <v>1949.1525423728815</v>
      </c>
      <c r="E57" s="77"/>
    </row>
    <row r="58" spans="1:5" ht="15.75" hidden="1" x14ac:dyDescent="0.25">
      <c r="A58" s="110" t="s">
        <v>315</v>
      </c>
      <c r="B58" s="23"/>
      <c r="C58" s="93">
        <v>0</v>
      </c>
      <c r="D58" s="92">
        <v>0</v>
      </c>
      <c r="E58" s="77"/>
    </row>
    <row r="59" spans="1:5" ht="16.5" hidden="1" thickBot="1" x14ac:dyDescent="0.3">
      <c r="A59" s="110" t="s">
        <v>279</v>
      </c>
      <c r="B59" s="23">
        <f>B13*'[3]34тарифы'!D184</f>
        <v>0</v>
      </c>
      <c r="C59" s="89"/>
      <c r="D59" s="95"/>
      <c r="E59" s="77"/>
    </row>
    <row r="60" spans="1:5" ht="15.75" hidden="1" x14ac:dyDescent="0.25">
      <c r="A60" s="104" t="s">
        <v>280</v>
      </c>
      <c r="B60" s="23">
        <v>0</v>
      </c>
      <c r="C60" s="90"/>
      <c r="D60" s="92"/>
      <c r="E60" s="77"/>
    </row>
    <row r="61" spans="1:5" ht="15.75" hidden="1" x14ac:dyDescent="0.25">
      <c r="A61" s="104" t="s">
        <v>281</v>
      </c>
      <c r="B61" s="23">
        <v>0</v>
      </c>
      <c r="C61" s="95"/>
      <c r="D61" s="92">
        <v>0</v>
      </c>
      <c r="E61" s="77"/>
    </row>
    <row r="62" spans="1:5" ht="15.75" hidden="1" x14ac:dyDescent="0.25">
      <c r="A62" s="104" t="s">
        <v>340</v>
      </c>
      <c r="B62" s="23">
        <v>0</v>
      </c>
      <c r="C62" s="95"/>
      <c r="D62" s="92">
        <v>0</v>
      </c>
      <c r="E62" s="77"/>
    </row>
    <row r="63" spans="1:5" ht="16.5" thickBot="1" x14ac:dyDescent="0.3">
      <c r="A63" s="104" t="s">
        <v>341</v>
      </c>
      <c r="B63" s="283">
        <v>17309.41</v>
      </c>
      <c r="C63" s="113">
        <v>1</v>
      </c>
      <c r="D63" s="92">
        <v>0</v>
      </c>
      <c r="E63" s="77"/>
    </row>
    <row r="64" spans="1:5" ht="16.5" hidden="1" thickBot="1" x14ac:dyDescent="0.3">
      <c r="A64" s="104" t="s">
        <v>284</v>
      </c>
      <c r="B64" s="229">
        <v>0</v>
      </c>
      <c r="C64" s="114">
        <v>48</v>
      </c>
      <c r="D64" s="95">
        <v>2</v>
      </c>
      <c r="E64" s="77">
        <v>1</v>
      </c>
    </row>
    <row r="65" spans="1:4" s="79" customFormat="1" ht="16.5" hidden="1" thickBot="1" x14ac:dyDescent="0.3">
      <c r="A65" s="104" t="s">
        <v>285</v>
      </c>
      <c r="B65" s="229">
        <v>0</v>
      </c>
      <c r="C65" s="115">
        <v>48</v>
      </c>
      <c r="D65" s="108">
        <f>650/1.18</f>
        <v>550.84745762711873</v>
      </c>
    </row>
    <row r="66" spans="1:4" s="79" customFormat="1" ht="16.5" thickBot="1" x14ac:dyDescent="0.3">
      <c r="A66" s="116" t="s">
        <v>286</v>
      </c>
      <c r="B66" s="208">
        <f>SUM(B67:B74)</f>
        <v>130441.6816924767</v>
      </c>
      <c r="C66" s="89"/>
      <c r="D66" s="93"/>
    </row>
    <row r="67" spans="1:4" ht="16.5" hidden="1" thickBot="1" x14ac:dyDescent="0.3">
      <c r="A67" s="104" t="s">
        <v>287</v>
      </c>
      <c r="B67" s="23">
        <v>0</v>
      </c>
      <c r="C67" s="98"/>
      <c r="D67" s="108"/>
    </row>
    <row r="68" spans="1:4" ht="16.5" thickBot="1" x14ac:dyDescent="0.3">
      <c r="A68" s="104" t="s">
        <v>288</v>
      </c>
      <c r="B68" s="23">
        <f>39556*1.04*1.1194</f>
        <v>46050.145855999996</v>
      </c>
      <c r="C68" s="89"/>
      <c r="D68" s="93"/>
    </row>
    <row r="69" spans="1:4" ht="15.75" hidden="1" x14ac:dyDescent="0.25">
      <c r="A69" s="104" t="s">
        <v>289</v>
      </c>
      <c r="B69" s="23">
        <v>0</v>
      </c>
      <c r="C69" s="98"/>
      <c r="D69" s="108"/>
    </row>
    <row r="70" spans="1:4" ht="16.5" thickBot="1" x14ac:dyDescent="0.3">
      <c r="A70" s="109" t="s">
        <v>290</v>
      </c>
      <c r="B70" s="23">
        <f>'[3]34тарифы'!D164*B13*1.1194</f>
        <v>2536.7075456236516</v>
      </c>
      <c r="C70" s="93"/>
      <c r="D70" s="108"/>
    </row>
    <row r="71" spans="1:4" ht="15.75" x14ac:dyDescent="0.25">
      <c r="A71" s="109" t="s">
        <v>291</v>
      </c>
      <c r="B71" s="23">
        <f>VLOOKUP(A71,[2]Лист1!S$1:T$65536,2,FALSE)*B15</f>
        <v>9506.4918866247681</v>
      </c>
      <c r="C71" s="117"/>
      <c r="D71" s="93"/>
    </row>
    <row r="72" spans="1:4" ht="15.75" x14ac:dyDescent="0.25">
      <c r="A72" s="109" t="s">
        <v>292</v>
      </c>
      <c r="B72" s="23">
        <f>VLOOKUP(A72,[2]Лист1!S$1:T$65536,2,FALSE)*B15</f>
        <v>33185.455764228289</v>
      </c>
      <c r="C72" s="108"/>
      <c r="D72" s="93"/>
    </row>
    <row r="73" spans="1:4" ht="15.75" x14ac:dyDescent="0.25">
      <c r="A73" s="41" t="s">
        <v>293</v>
      </c>
      <c r="B73" s="23">
        <f>3562*1.04*1.1194</f>
        <v>4146.7949119999994</v>
      </c>
      <c r="C73" s="108"/>
      <c r="D73" s="93"/>
    </row>
    <row r="74" spans="1:4" ht="15.75" x14ac:dyDescent="0.25">
      <c r="A74" s="109" t="s">
        <v>294</v>
      </c>
      <c r="B74" s="23">
        <f>30078*1.04*1.1194</f>
        <v>35016.085727999998</v>
      </c>
      <c r="C74" s="108"/>
      <c r="D74" s="93"/>
    </row>
    <row r="75" spans="1:4" ht="47.25" x14ac:dyDescent="0.25">
      <c r="A75" s="118" t="s">
        <v>328</v>
      </c>
      <c r="B75" s="208">
        <f>SUM(B76:B76)</f>
        <v>69916.022743952039</v>
      </c>
      <c r="C75" s="108"/>
      <c r="D75" s="93"/>
    </row>
    <row r="76" spans="1:4" ht="15.75" x14ac:dyDescent="0.25">
      <c r="A76" s="109" t="s">
        <v>296</v>
      </c>
      <c r="B76" s="23">
        <f>'[3]34ОЭР'!D166*1.1194</f>
        <v>69916.022743952039</v>
      </c>
      <c r="C76" s="108"/>
      <c r="D76" s="93"/>
    </row>
    <row r="77" spans="1:4" s="79" customFormat="1" ht="15.75" x14ac:dyDescent="0.25">
      <c r="A77" s="116" t="s">
        <v>297</v>
      </c>
      <c r="B77" s="208">
        <f>SUM(B78:B81)</f>
        <v>63513.930020800421</v>
      </c>
      <c r="C77" s="108"/>
      <c r="D77" s="93"/>
    </row>
    <row r="78" spans="1:4" ht="32.25" thickBot="1" x14ac:dyDescent="0.3">
      <c r="A78" s="119" t="s">
        <v>329</v>
      </c>
      <c r="B78" s="23">
        <f>'[3]34тарифы'!D170*B15*1.1194</f>
        <v>49580.690539605697</v>
      </c>
      <c r="C78" s="96"/>
      <c r="D78" s="93"/>
    </row>
    <row r="79" spans="1:4" ht="16.5" hidden="1" thickBot="1" x14ac:dyDescent="0.3">
      <c r="A79" s="51" t="s">
        <v>299</v>
      </c>
      <c r="B79" s="23">
        <f>(B26/1.2)*30%</f>
        <v>0</v>
      </c>
      <c r="C79" s="98"/>
      <c r="D79" s="108"/>
    </row>
    <row r="80" spans="1:4" ht="15.75" x14ac:dyDescent="0.25">
      <c r="A80" s="120" t="s">
        <v>330</v>
      </c>
      <c r="B80" s="23">
        <f>4262.5+5154.76</f>
        <v>9417.26</v>
      </c>
      <c r="C80" s="117"/>
      <c r="D80" s="93"/>
    </row>
    <row r="81" spans="1:4" ht="15.75" x14ac:dyDescent="0.25">
      <c r="A81" s="120" t="s">
        <v>331</v>
      </c>
      <c r="B81" s="23">
        <f>'[3]34тарифы'!D173*B13*1.1194</f>
        <v>4515.9794811947186</v>
      </c>
      <c r="C81" s="108"/>
      <c r="D81" s="93"/>
    </row>
    <row r="82" spans="1:4" ht="15.75" x14ac:dyDescent="0.25">
      <c r="A82" s="121" t="s">
        <v>302</v>
      </c>
      <c r="B82" s="28">
        <f>B32+B42+B46+B66+B75+B77</f>
        <v>330367.23704858928</v>
      </c>
      <c r="C82" s="108"/>
      <c r="D82" s="93"/>
    </row>
    <row r="83" spans="1:4" ht="15.75" x14ac:dyDescent="0.25">
      <c r="A83" s="122" t="s">
        <v>303</v>
      </c>
      <c r="B83" s="23">
        <f>B82*0.03</f>
        <v>9911.0171114576788</v>
      </c>
      <c r="C83" s="108"/>
      <c r="D83" s="93"/>
    </row>
    <row r="84" spans="1:4" s="103" customFormat="1" ht="15.75" x14ac:dyDescent="0.25">
      <c r="A84" s="123" t="s">
        <v>304</v>
      </c>
      <c r="B84" s="208">
        <f>B82+B83</f>
        <v>340278.25416004693</v>
      </c>
      <c r="C84" s="108"/>
      <c r="D84" s="93"/>
    </row>
    <row r="85" spans="1:4" ht="16.5" thickBot="1" x14ac:dyDescent="0.3">
      <c r="A85" s="124" t="s">
        <v>305</v>
      </c>
      <c r="B85" s="240">
        <f>B84*0.2</f>
        <v>68055.650832009385</v>
      </c>
      <c r="C85" s="108"/>
      <c r="D85" s="93"/>
    </row>
    <row r="86" spans="1:4" s="79" customFormat="1" ht="16.5" thickBot="1" x14ac:dyDescent="0.3">
      <c r="A86" s="125" t="s">
        <v>306</v>
      </c>
      <c r="B86" s="66">
        <f>B84+B85</f>
        <v>408333.90499205631</v>
      </c>
      <c r="C86" s="89"/>
      <c r="D86" s="126"/>
    </row>
    <row r="87" spans="1:4" s="79" customFormat="1" ht="16.5" thickBot="1" x14ac:dyDescent="0.3">
      <c r="A87" s="127" t="s">
        <v>307</v>
      </c>
      <c r="B87" s="296">
        <f>B10+B24+B26+B28+B29-B86</f>
        <v>-194681.92499205633</v>
      </c>
      <c r="C87" s="128"/>
      <c r="D87" s="129"/>
    </row>
    <row r="88" spans="1:4" s="79" customFormat="1" ht="16.5" thickBot="1" x14ac:dyDescent="0.3">
      <c r="A88" s="130" t="s">
        <v>308</v>
      </c>
      <c r="B88" s="66">
        <f>B10+B25+B27+B28+B29-B86</f>
        <v>-218692.47499205632</v>
      </c>
      <c r="C88" s="131"/>
      <c r="D88" s="129"/>
    </row>
    <row r="89" spans="1:4" s="79" customFormat="1" ht="16.5" hidden="1" thickBot="1" x14ac:dyDescent="0.3">
      <c r="A89" s="132" t="s">
        <v>309</v>
      </c>
      <c r="B89" s="66">
        <f>B11+B24-B25</f>
        <v>24010.549999999988</v>
      </c>
      <c r="C89" s="129"/>
      <c r="D89" s="129"/>
    </row>
    <row r="90" spans="1:4" s="79" customFormat="1" ht="15.75" x14ac:dyDescent="0.25">
      <c r="A90" s="133"/>
      <c r="B90" s="242"/>
      <c r="C90" s="129"/>
      <c r="D90" s="129"/>
    </row>
    <row r="91" spans="1:4" ht="15.75" x14ac:dyDescent="0.25">
      <c r="A91" s="134"/>
      <c r="B91" s="3"/>
      <c r="C91" s="77"/>
      <c r="D91" s="77"/>
    </row>
    <row r="92" spans="1:4" ht="15.75" x14ac:dyDescent="0.25">
      <c r="A92" s="323" t="s">
        <v>332</v>
      </c>
      <c r="B92" s="323"/>
      <c r="C92" s="77"/>
      <c r="D92" s="77"/>
    </row>
    <row r="93" spans="1:4" ht="15.75" x14ac:dyDescent="0.25">
      <c r="A93" s="134"/>
      <c r="B93" s="3"/>
      <c r="C93" s="77"/>
      <c r="D93" s="77"/>
    </row>
    <row r="94" spans="1:4" ht="15.75" hidden="1" x14ac:dyDescent="0.25">
      <c r="A94" s="324" t="s">
        <v>333</v>
      </c>
      <c r="B94" s="324"/>
      <c r="C94" s="135"/>
      <c r="D94" s="77"/>
    </row>
    <row r="95" spans="1:4" ht="15.75" x14ac:dyDescent="0.25">
      <c r="A95" s="77"/>
      <c r="B95" s="3"/>
      <c r="C95" s="77"/>
      <c r="D95" s="77"/>
    </row>
  </sheetData>
  <autoFilter ref="A31:G89" xr:uid="{00000000-0009-0000-0000-00002F000000}">
    <filterColumn colId="1">
      <filters>
        <filter val="1 001,10"/>
        <filter val="1 482,22"/>
        <filter val="10 275,47"/>
        <filter val="12 325,95"/>
        <filter val="130 441,68"/>
        <filter val="-156 451,10"/>
        <filter val="16 236,41"/>
        <filter val="16 830,26"/>
        <filter val="-180 461,65"/>
        <filter val="2 428,24"/>
        <filter val="2 536,71"/>
        <filter val="2 695,08"/>
        <filter val="20 702,90"/>
        <filter val="24 010,55"/>
        <filter val="28 629,86"/>
        <filter val="3 272,70"/>
        <filter val="33 185,46"/>
        <filter val="330 299,02"/>
        <filter val="340 207,99"/>
        <filter val="35 016,09"/>
        <filter val="4 146,79"/>
        <filter val="4 515,98"/>
        <filter val="4 830,72"/>
        <filter val="408 249,59"/>
        <filter val="46 050,15"/>
        <filter val="49 580,69"/>
        <filter val="64 372,14"/>
        <filter val="68 041,60"/>
        <filter val="69 916,02"/>
        <filter val="9 506,49"/>
        <filter val="9 908,97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83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filterMode="1">
    <pageSetUpPr fitToPage="1"/>
  </sheetPr>
  <dimension ref="A1:G95"/>
  <sheetViews>
    <sheetView view="pageBreakPreview" topLeftCell="A28" zoomScale="80" zoomScaleNormal="100" zoomScaleSheetLayoutView="80" workbookViewId="0">
      <selection activeCell="B81" sqref="B81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25" t="s">
        <v>224</v>
      </c>
      <c r="B1" s="325"/>
      <c r="C1" s="77"/>
      <c r="D1" s="77"/>
    </row>
    <row r="2" spans="1:4" ht="16.5" x14ac:dyDescent="0.25">
      <c r="A2" s="326" t="s">
        <v>225</v>
      </c>
      <c r="B2" s="326"/>
      <c r="C2" s="77"/>
      <c r="D2" s="77"/>
    </row>
    <row r="3" spans="1:4" ht="16.5" x14ac:dyDescent="0.25">
      <c r="A3" s="326" t="s">
        <v>226</v>
      </c>
      <c r="B3" s="326"/>
      <c r="C3" s="77"/>
      <c r="D3" s="77"/>
    </row>
    <row r="4" spans="1:4" ht="15.75" x14ac:dyDescent="0.25">
      <c r="A4" s="78" t="s">
        <v>516</v>
      </c>
      <c r="B4" s="78"/>
      <c r="C4" s="77"/>
      <c r="D4" s="77"/>
    </row>
    <row r="5" spans="1:4" ht="15.75" x14ac:dyDescent="0.25">
      <c r="A5" s="78" t="s">
        <v>141</v>
      </c>
      <c r="B5" s="78"/>
      <c r="C5" s="77"/>
      <c r="D5" s="77"/>
    </row>
    <row r="6" spans="1:4" ht="5.25" customHeight="1" x14ac:dyDescent="0.25">
      <c r="A6" s="78"/>
      <c r="B6" s="8"/>
      <c r="C6" s="79"/>
      <c r="D6" s="77"/>
    </row>
    <row r="7" spans="1:4" ht="16.5" thickBot="1" x14ac:dyDescent="0.3">
      <c r="A7" s="80"/>
      <c r="B7" s="8"/>
      <c r="C7" s="79"/>
      <c r="D7" s="77"/>
    </row>
    <row r="8" spans="1:4" ht="15.75" customHeight="1" x14ac:dyDescent="0.2">
      <c r="A8" s="327" t="s">
        <v>227</v>
      </c>
      <c r="B8" s="329" t="s">
        <v>228</v>
      </c>
      <c r="C8" s="331" t="s">
        <v>229</v>
      </c>
      <c r="D8" s="321" t="s">
        <v>230</v>
      </c>
    </row>
    <row r="9" spans="1:4" ht="28.5" customHeight="1" thickBot="1" x14ac:dyDescent="0.25">
      <c r="A9" s="328"/>
      <c r="B9" s="330"/>
      <c r="C9" s="332"/>
      <c r="D9" s="322"/>
    </row>
    <row r="10" spans="1:4" ht="16.5" thickBot="1" x14ac:dyDescent="0.25">
      <c r="A10" s="81" t="s">
        <v>231</v>
      </c>
      <c r="B10" s="302">
        <f>VLOOKUP(A5,мкд!S:T,2,FALSE)</f>
        <v>-249006.07999999999</v>
      </c>
      <c r="C10" s="83"/>
      <c r="D10" s="84"/>
    </row>
    <row r="11" spans="1:4" ht="16.5" hidden="1" thickBot="1" x14ac:dyDescent="0.25">
      <c r="A11" s="85" t="s">
        <v>232</v>
      </c>
      <c r="B11" s="210"/>
      <c r="C11" s="84"/>
      <c r="D11" s="86"/>
    </row>
    <row r="12" spans="1:4" ht="16.5" thickBot="1" x14ac:dyDescent="0.3">
      <c r="A12" s="87" t="s">
        <v>233</v>
      </c>
      <c r="B12" s="217"/>
      <c r="C12" s="89" t="s">
        <v>234</v>
      </c>
      <c r="D12" s="90" t="s">
        <v>234</v>
      </c>
    </row>
    <row r="13" spans="1:4" ht="16.5" hidden="1" thickBot="1" x14ac:dyDescent="0.3">
      <c r="A13" s="91" t="s">
        <v>235</v>
      </c>
      <c r="B13" s="23">
        <v>1531.9</v>
      </c>
      <c r="C13" s="90" t="s">
        <v>234</v>
      </c>
      <c r="D13" s="92" t="s">
        <v>234</v>
      </c>
    </row>
    <row r="14" spans="1:4" ht="16.5" hidden="1" thickBot="1" x14ac:dyDescent="0.3">
      <c r="A14" s="91" t="s">
        <v>236</v>
      </c>
      <c r="B14" s="23">
        <v>0</v>
      </c>
      <c r="C14" s="93"/>
      <c r="D14" s="92"/>
    </row>
    <row r="15" spans="1:4" ht="16.5" hidden="1" thickBot="1" x14ac:dyDescent="0.3">
      <c r="A15" s="91" t="s">
        <v>237</v>
      </c>
      <c r="B15" s="23">
        <f>B13+B14</f>
        <v>1531.9</v>
      </c>
      <c r="C15" s="94"/>
      <c r="D15" s="95"/>
    </row>
    <row r="16" spans="1:4" ht="16.5" hidden="1" thickBot="1" x14ac:dyDescent="0.3">
      <c r="A16" s="91" t="s">
        <v>238</v>
      </c>
      <c r="B16" s="23">
        <f>697.4+962.7/3</f>
        <v>1018.3</v>
      </c>
      <c r="C16" s="96" t="s">
        <v>234</v>
      </c>
      <c r="D16" s="95" t="s">
        <v>234</v>
      </c>
    </row>
    <row r="17" spans="1:7" ht="16.5" hidden="1" thickBot="1" x14ac:dyDescent="0.3">
      <c r="A17" s="91" t="s">
        <v>239</v>
      </c>
      <c r="B17" s="23">
        <v>0</v>
      </c>
      <c r="C17" s="90" t="s">
        <v>234</v>
      </c>
      <c r="D17" s="92" t="s">
        <v>234</v>
      </c>
      <c r="E17" s="77"/>
      <c r="F17" s="77"/>
      <c r="G17" s="77"/>
    </row>
    <row r="18" spans="1:7" ht="16.5" hidden="1" thickBot="1" x14ac:dyDescent="0.3">
      <c r="A18" s="91" t="s">
        <v>240</v>
      </c>
      <c r="B18" s="23">
        <v>641.1</v>
      </c>
      <c r="C18" s="95" t="s">
        <v>234</v>
      </c>
      <c r="D18" s="92" t="s">
        <v>234</v>
      </c>
      <c r="E18" s="77"/>
      <c r="F18" s="77"/>
      <c r="G18" s="77"/>
    </row>
    <row r="19" spans="1:7" ht="16.5" hidden="1" thickBot="1" x14ac:dyDescent="0.3">
      <c r="A19" s="91" t="s">
        <v>241</v>
      </c>
      <c r="B19" s="23">
        <v>0</v>
      </c>
      <c r="C19" s="95" t="s">
        <v>234</v>
      </c>
      <c r="D19" s="92" t="s">
        <v>234</v>
      </c>
      <c r="E19" s="77"/>
      <c r="F19" s="77"/>
      <c r="G19" s="77"/>
    </row>
    <row r="20" spans="1:7" ht="16.5" hidden="1" thickBot="1" x14ac:dyDescent="0.3">
      <c r="A20" s="91" t="s">
        <v>242</v>
      </c>
      <c r="B20" s="23">
        <v>826</v>
      </c>
      <c r="C20" s="95"/>
      <c r="D20" s="92"/>
      <c r="E20" s="77"/>
      <c r="F20" s="77"/>
      <c r="G20" s="77"/>
    </row>
    <row r="21" spans="1:7" ht="16.5" hidden="1" thickBot="1" x14ac:dyDescent="0.3">
      <c r="A21" s="91" t="s">
        <v>243</v>
      </c>
      <c r="B21" s="23">
        <v>0</v>
      </c>
      <c r="C21" s="95" t="s">
        <v>234</v>
      </c>
      <c r="D21" s="92" t="s">
        <v>234</v>
      </c>
      <c r="E21" s="77"/>
      <c r="F21" s="77"/>
      <c r="G21" s="77"/>
    </row>
    <row r="22" spans="1:7" ht="16.5" hidden="1" thickBot="1" x14ac:dyDescent="0.3">
      <c r="A22" s="91" t="s">
        <v>244</v>
      </c>
      <c r="B22" s="23">
        <v>98</v>
      </c>
      <c r="C22" s="93"/>
      <c r="D22" s="92"/>
      <c r="E22" s="77"/>
      <c r="F22" s="77"/>
      <c r="G22" s="77"/>
    </row>
    <row r="23" spans="1:7" ht="15.75" x14ac:dyDescent="0.25">
      <c r="A23" s="91"/>
      <c r="B23" s="23"/>
      <c r="C23" s="94"/>
      <c r="D23" s="95"/>
      <c r="E23" s="77">
        <v>10</v>
      </c>
      <c r="F23" s="77">
        <v>2</v>
      </c>
      <c r="G23" s="77"/>
    </row>
    <row r="24" spans="1:7" ht="15.75" x14ac:dyDescent="0.25">
      <c r="A24" s="97" t="s">
        <v>319</v>
      </c>
      <c r="B24" s="28">
        <f>VLOOKUP(A5,[2]Лист1!M$1:N$65536,2,FALSE)</f>
        <v>275378.40000000002</v>
      </c>
      <c r="C24" s="92"/>
      <c r="D24" s="95"/>
      <c r="E24" s="26">
        <v>14.73</v>
      </c>
      <c r="F24" s="256">
        <v>16.488762000000001</v>
      </c>
      <c r="G24" s="77"/>
    </row>
    <row r="25" spans="1:7" ht="16.5" thickBot="1" x14ac:dyDescent="0.3">
      <c r="A25" s="97" t="s">
        <v>320</v>
      </c>
      <c r="B25" s="28">
        <f>VLOOKUP(A5,[2]Лист1!M$1:O$65536,3,FALSE)</f>
        <v>272032.94</v>
      </c>
      <c r="C25" s="96"/>
      <c r="D25" s="95"/>
      <c r="E25" s="77"/>
      <c r="F25" s="77"/>
      <c r="G25" s="77"/>
    </row>
    <row r="26" spans="1:7" ht="16.5" hidden="1" thickBot="1" x14ac:dyDescent="0.3">
      <c r="A26" s="97" t="s">
        <v>321</v>
      </c>
      <c r="B26" s="28"/>
      <c r="C26" s="90"/>
      <c r="D26" s="92"/>
      <c r="E26" s="77"/>
      <c r="F26" s="77"/>
      <c r="G26" s="77"/>
    </row>
    <row r="27" spans="1:7" ht="16.5" hidden="1" thickBot="1" x14ac:dyDescent="0.3">
      <c r="A27" s="97" t="s">
        <v>248</v>
      </c>
      <c r="B27" s="28">
        <f>B26</f>
        <v>0</v>
      </c>
      <c r="C27" s="93"/>
      <c r="D27" s="92"/>
      <c r="E27" s="77"/>
      <c r="F27" s="77"/>
      <c r="G27" s="77"/>
    </row>
    <row r="28" spans="1:7" ht="16.5" thickBot="1" x14ac:dyDescent="0.3">
      <c r="A28" s="97" t="s">
        <v>249</v>
      </c>
      <c r="B28" s="28">
        <v>5781.36</v>
      </c>
      <c r="C28" s="89"/>
      <c r="D28" s="95"/>
      <c r="E28" s="77"/>
      <c r="F28" s="77"/>
      <c r="G28" s="77"/>
    </row>
    <row r="29" spans="1:7" ht="16.5" hidden="1" thickBot="1" x14ac:dyDescent="0.3">
      <c r="A29" s="97" t="s">
        <v>250</v>
      </c>
      <c r="B29" s="28"/>
      <c r="C29" s="98"/>
      <c r="D29" s="92"/>
      <c r="E29" s="77"/>
      <c r="F29" s="77"/>
      <c r="G29" s="77"/>
    </row>
    <row r="30" spans="1:7" ht="15.75" x14ac:dyDescent="0.25">
      <c r="A30" s="99"/>
      <c r="B30" s="23"/>
      <c r="C30" s="94"/>
      <c r="D30" s="95"/>
      <c r="E30" s="77"/>
      <c r="F30" s="77"/>
      <c r="G30" s="77"/>
    </row>
    <row r="31" spans="1:7" ht="15.75" x14ac:dyDescent="0.25">
      <c r="A31" s="100" t="s">
        <v>251</v>
      </c>
      <c r="B31" s="23"/>
      <c r="C31" s="92"/>
      <c r="D31" s="95"/>
      <c r="E31" s="77"/>
      <c r="F31" s="77"/>
      <c r="G31" s="77"/>
    </row>
    <row r="32" spans="1:7" s="103" customFormat="1" ht="31.5" x14ac:dyDescent="0.25">
      <c r="A32" s="101" t="s">
        <v>252</v>
      </c>
      <c r="B32" s="208">
        <f>SUM(B33:B41)</f>
        <v>49304.241615844563</v>
      </c>
      <c r="C32" s="92"/>
      <c r="D32" s="95"/>
      <c r="E32" s="102">
        <f>(B86-B26-B24)/1.2/1.03</f>
        <v>97790.419403781576</v>
      </c>
      <c r="F32" s="102" t="e">
        <f>(#REF!-#REF!-#REF!)/1.2/1.03</f>
        <v>#REF!</v>
      </c>
      <c r="G32" s="102" t="e">
        <f>(#REF!-#REF!-#REF!)/1.2/1.03</f>
        <v>#REF!</v>
      </c>
    </row>
    <row r="33" spans="1:7" ht="16.5" thickBot="1" x14ac:dyDescent="0.3">
      <c r="A33" s="104" t="s">
        <v>253</v>
      </c>
      <c r="B33" s="23">
        <f>18494.64*1.1194</f>
        <v>20702.900016</v>
      </c>
      <c r="C33" s="96"/>
      <c r="D33" s="95">
        <v>27374.79</v>
      </c>
      <c r="E33" s="77"/>
      <c r="F33" s="77"/>
      <c r="G33" s="77"/>
    </row>
    <row r="34" spans="1:7" ht="15.75" hidden="1" x14ac:dyDescent="0.25">
      <c r="A34" s="104" t="s">
        <v>322</v>
      </c>
      <c r="B34" s="23"/>
      <c r="C34" s="90"/>
      <c r="D34" s="92">
        <v>0</v>
      </c>
      <c r="E34" s="77"/>
      <c r="F34" s="77"/>
      <c r="G34" s="77"/>
    </row>
    <row r="35" spans="1:7" ht="15.75" x14ac:dyDescent="0.25">
      <c r="A35" s="104" t="s">
        <v>256</v>
      </c>
      <c r="B35" s="23">
        <v>22004.86</v>
      </c>
      <c r="C35" s="95"/>
      <c r="D35" s="92">
        <v>0</v>
      </c>
      <c r="E35" s="77"/>
      <c r="F35" s="77"/>
      <c r="G35" s="77"/>
    </row>
    <row r="36" spans="1:7" ht="16.5" thickBot="1" x14ac:dyDescent="0.3">
      <c r="A36" s="104" t="s">
        <v>255</v>
      </c>
      <c r="B36" s="23">
        <v>6596.4815998445656</v>
      </c>
      <c r="C36" s="95" t="s">
        <v>234</v>
      </c>
      <c r="D36" s="92">
        <v>0</v>
      </c>
      <c r="E36" s="77"/>
      <c r="F36" s="77"/>
      <c r="G36" s="77"/>
    </row>
    <row r="37" spans="1:7" ht="16.5" hidden="1" thickBot="1" x14ac:dyDescent="0.3">
      <c r="A37" s="104" t="s">
        <v>257</v>
      </c>
      <c r="B37" s="23">
        <v>0</v>
      </c>
      <c r="C37" s="95"/>
      <c r="D37" s="92">
        <v>0</v>
      </c>
      <c r="E37" s="77"/>
      <c r="F37" s="77"/>
      <c r="G37" s="77"/>
    </row>
    <row r="38" spans="1:7" ht="16.5" hidden="1" thickBot="1" x14ac:dyDescent="0.3">
      <c r="A38" s="104" t="s">
        <v>258</v>
      </c>
      <c r="B38" s="23">
        <v>0</v>
      </c>
      <c r="C38" s="95"/>
      <c r="D38" s="92">
        <v>0</v>
      </c>
      <c r="E38" s="77"/>
      <c r="F38" s="77"/>
      <c r="G38" s="77"/>
    </row>
    <row r="39" spans="1:7" ht="16.5" hidden="1" thickBot="1" x14ac:dyDescent="0.3">
      <c r="A39" s="104" t="s">
        <v>324</v>
      </c>
      <c r="B39" s="23">
        <v>0</v>
      </c>
      <c r="C39" s="95"/>
      <c r="D39" s="92">
        <v>0</v>
      </c>
      <c r="E39" s="77"/>
      <c r="F39" s="77"/>
      <c r="G39" s="77"/>
    </row>
    <row r="40" spans="1:7" ht="16.5" hidden="1" thickBot="1" x14ac:dyDescent="0.3">
      <c r="A40" s="104" t="s">
        <v>312</v>
      </c>
      <c r="B40" s="23">
        <v>0</v>
      </c>
      <c r="C40" s="95"/>
      <c r="D40" s="92"/>
      <c r="E40" s="77"/>
      <c r="F40" s="77"/>
      <c r="G40" s="77"/>
    </row>
    <row r="41" spans="1:7" ht="16.5" hidden="1" thickBot="1" x14ac:dyDescent="0.3">
      <c r="A41" s="104" t="s">
        <v>255</v>
      </c>
      <c r="B41" s="23"/>
      <c r="C41" s="93"/>
      <c r="D41" s="92"/>
      <c r="E41" s="77"/>
      <c r="F41" s="77"/>
      <c r="G41" s="77"/>
    </row>
    <row r="42" spans="1:7" s="103" customFormat="1" ht="48" thickBot="1" x14ac:dyDescent="0.3">
      <c r="A42" s="101" t="s">
        <v>325</v>
      </c>
      <c r="B42" s="208">
        <f>SUM(B43:B45)</f>
        <v>34817.481969896282</v>
      </c>
      <c r="C42" s="89"/>
      <c r="D42" s="95"/>
      <c r="E42" s="102"/>
      <c r="F42" s="102"/>
      <c r="G42" s="102"/>
    </row>
    <row r="43" spans="1:7" ht="15.75" x14ac:dyDescent="0.25">
      <c r="A43" s="104" t="s">
        <v>262</v>
      </c>
      <c r="B43" s="23">
        <v>2139.17</v>
      </c>
      <c r="C43" s="98"/>
      <c r="D43" s="108"/>
      <c r="E43" s="77"/>
      <c r="F43" s="77"/>
      <c r="G43" s="77"/>
    </row>
    <row r="44" spans="1:7" ht="15.75" x14ac:dyDescent="0.25">
      <c r="A44" s="104" t="s">
        <v>263</v>
      </c>
      <c r="B44" s="23">
        <v>23452.998400155426</v>
      </c>
      <c r="C44" s="93"/>
      <c r="D44" s="108"/>
      <c r="E44" s="77"/>
      <c r="F44" s="77"/>
      <c r="G44" s="77"/>
    </row>
    <row r="45" spans="1:7" ht="16.5" thickBot="1" x14ac:dyDescent="0.3">
      <c r="A45" s="109" t="s">
        <v>264</v>
      </c>
      <c r="B45" s="23">
        <f>('[3]34тарифы'!D163*B15+113.86)*1.1194</f>
        <v>9225.3135697408616</v>
      </c>
      <c r="C45" s="93"/>
      <c r="D45" s="108"/>
      <c r="E45" s="77"/>
      <c r="F45" s="77"/>
      <c r="G45" s="77"/>
    </row>
    <row r="46" spans="1:7" s="79" customFormat="1" ht="16.5" thickBot="1" x14ac:dyDescent="0.3">
      <c r="A46" s="101" t="s">
        <v>265</v>
      </c>
      <c r="B46" s="208">
        <f>SUM(B47:B65)</f>
        <v>32162.639999999999</v>
      </c>
      <c r="C46" s="89"/>
      <c r="D46" s="95"/>
    </row>
    <row r="47" spans="1:7" ht="15.75" x14ac:dyDescent="0.25">
      <c r="A47" s="104" t="s">
        <v>326</v>
      </c>
      <c r="B47" s="283">
        <v>2692.56</v>
      </c>
      <c r="C47" s="90"/>
      <c r="D47" s="92"/>
      <c r="E47" s="77" t="s">
        <v>267</v>
      </c>
      <c r="F47" s="77"/>
      <c r="G47" s="77"/>
    </row>
    <row r="48" spans="1:7" ht="15.75" x14ac:dyDescent="0.25">
      <c r="A48" s="104" t="s">
        <v>317</v>
      </c>
      <c r="B48" s="283">
        <v>3269.64</v>
      </c>
      <c r="C48" s="95"/>
      <c r="D48" s="92"/>
      <c r="E48" s="77" t="s">
        <v>269</v>
      </c>
      <c r="F48" s="77"/>
      <c r="G48" s="77"/>
    </row>
    <row r="49" spans="1:5" ht="15.75" x14ac:dyDescent="0.25">
      <c r="A49" s="110" t="s">
        <v>282</v>
      </c>
      <c r="B49" s="290">
        <v>124.52</v>
      </c>
      <c r="C49" s="95"/>
      <c r="D49" s="92"/>
      <c r="E49" s="77"/>
    </row>
    <row r="50" spans="1:5" ht="15.75" hidden="1" x14ac:dyDescent="0.25">
      <c r="A50" s="110" t="s">
        <v>271</v>
      </c>
      <c r="B50" s="23">
        <v>0</v>
      </c>
      <c r="C50" s="95"/>
      <c r="D50" s="92">
        <v>4190</v>
      </c>
      <c r="E50" s="77"/>
    </row>
    <row r="51" spans="1:5" ht="15.75" hidden="1" x14ac:dyDescent="0.25">
      <c r="A51" s="110" t="s">
        <v>272</v>
      </c>
      <c r="B51" s="23">
        <v>0</v>
      </c>
      <c r="C51" s="95"/>
      <c r="D51" s="92"/>
      <c r="E51" s="77"/>
    </row>
    <row r="52" spans="1:5" ht="15.75" hidden="1" x14ac:dyDescent="0.25">
      <c r="A52" s="110" t="s">
        <v>273</v>
      </c>
      <c r="B52" s="23">
        <f>B21*'[3]34тарифы'!D177</f>
        <v>0</v>
      </c>
      <c r="C52" s="95"/>
      <c r="D52" s="92">
        <v>105.14</v>
      </c>
      <c r="E52" s="77"/>
    </row>
    <row r="53" spans="1:5" ht="15.75" hidden="1" x14ac:dyDescent="0.25">
      <c r="A53" s="110" t="s">
        <v>274</v>
      </c>
      <c r="B53" s="23">
        <v>0</v>
      </c>
      <c r="C53" s="95">
        <v>0</v>
      </c>
      <c r="D53" s="92">
        <v>522.99</v>
      </c>
      <c r="E53" s="77"/>
    </row>
    <row r="54" spans="1:5" ht="15.75" hidden="1" x14ac:dyDescent="0.25">
      <c r="A54" s="110" t="s">
        <v>275</v>
      </c>
      <c r="B54" s="23">
        <v>0</v>
      </c>
      <c r="C54" s="95">
        <v>0</v>
      </c>
      <c r="D54" s="111">
        <v>695.13</v>
      </c>
      <c r="E54" s="77"/>
    </row>
    <row r="55" spans="1:5" ht="15.75" hidden="1" x14ac:dyDescent="0.25">
      <c r="A55" s="110" t="s">
        <v>276</v>
      </c>
      <c r="B55" s="23">
        <v>0</v>
      </c>
      <c r="C55" s="95"/>
      <c r="D55" s="111"/>
      <c r="E55" s="77"/>
    </row>
    <row r="56" spans="1:5" ht="15.75" hidden="1" x14ac:dyDescent="0.25">
      <c r="A56" s="110" t="s">
        <v>277</v>
      </c>
      <c r="B56" s="23">
        <v>0</v>
      </c>
      <c r="C56" s="95">
        <v>0</v>
      </c>
      <c r="D56" s="92">
        <f>10695.76/1.18</f>
        <v>9064.203389830509</v>
      </c>
      <c r="E56" s="77"/>
    </row>
    <row r="57" spans="1:5" ht="15.75" hidden="1" x14ac:dyDescent="0.25">
      <c r="A57" s="110" t="s">
        <v>314</v>
      </c>
      <c r="B57" s="23">
        <v>0</v>
      </c>
      <c r="C57" s="95">
        <v>0</v>
      </c>
      <c r="D57" s="92">
        <f>2300/1.18</f>
        <v>1949.1525423728815</v>
      </c>
      <c r="E57" s="77"/>
    </row>
    <row r="58" spans="1:5" ht="15.75" x14ac:dyDescent="0.25">
      <c r="A58" s="110" t="s">
        <v>540</v>
      </c>
      <c r="B58" s="283">
        <v>11726.35</v>
      </c>
      <c r="C58" s="93">
        <v>0</v>
      </c>
      <c r="D58" s="92">
        <v>0</v>
      </c>
      <c r="E58" s="77"/>
    </row>
    <row r="59" spans="1:5" ht="16.5" hidden="1" thickBot="1" x14ac:dyDescent="0.3">
      <c r="A59" s="110" t="s">
        <v>279</v>
      </c>
      <c r="B59" s="23">
        <f>B13*'[3]34тарифы'!D184</f>
        <v>0</v>
      </c>
      <c r="C59" s="89"/>
      <c r="D59" s="95"/>
      <c r="E59" s="77"/>
    </row>
    <row r="60" spans="1:5" ht="15.75" hidden="1" x14ac:dyDescent="0.25">
      <c r="A60" s="104" t="s">
        <v>280</v>
      </c>
      <c r="B60" s="23">
        <v>0</v>
      </c>
      <c r="C60" s="90"/>
      <c r="D60" s="92"/>
      <c r="E60" s="77"/>
    </row>
    <row r="61" spans="1:5" ht="15.75" hidden="1" x14ac:dyDescent="0.25">
      <c r="A61" s="104" t="s">
        <v>281</v>
      </c>
      <c r="B61" s="23">
        <v>0</v>
      </c>
      <c r="C61" s="95"/>
      <c r="D61" s="92">
        <v>0</v>
      </c>
      <c r="E61" s="77"/>
    </row>
    <row r="62" spans="1:5" ht="15.75" hidden="1" x14ac:dyDescent="0.25">
      <c r="A62" s="104" t="s">
        <v>340</v>
      </c>
      <c r="B62" s="23">
        <v>0</v>
      </c>
      <c r="C62" s="95"/>
      <c r="D62" s="92">
        <v>0</v>
      </c>
      <c r="E62" s="77"/>
    </row>
    <row r="63" spans="1:5" ht="16.5" thickBot="1" x14ac:dyDescent="0.3">
      <c r="A63" s="104" t="s">
        <v>341</v>
      </c>
      <c r="B63" s="283">
        <v>14349.57</v>
      </c>
      <c r="C63" s="113">
        <v>1</v>
      </c>
      <c r="D63" s="92">
        <v>0</v>
      </c>
      <c r="E63" s="77"/>
    </row>
    <row r="64" spans="1:5" ht="16.5" hidden="1" thickBot="1" x14ac:dyDescent="0.3">
      <c r="A64" s="104" t="s">
        <v>284</v>
      </c>
      <c r="B64" s="229">
        <v>0</v>
      </c>
      <c r="C64" s="114">
        <v>36</v>
      </c>
      <c r="D64" s="95">
        <v>2</v>
      </c>
      <c r="E64" s="77">
        <v>1</v>
      </c>
    </row>
    <row r="65" spans="1:4" s="79" customFormat="1" ht="16.5" hidden="1" thickBot="1" x14ac:dyDescent="0.3">
      <c r="A65" s="104" t="s">
        <v>285</v>
      </c>
      <c r="B65" s="229">
        <v>0</v>
      </c>
      <c r="C65" s="115">
        <v>36</v>
      </c>
      <c r="D65" s="108">
        <f>650/1.18</f>
        <v>550.84745762711873</v>
      </c>
    </row>
    <row r="66" spans="1:4" s="79" customFormat="1" ht="16.5" thickBot="1" x14ac:dyDescent="0.3">
      <c r="A66" s="116" t="s">
        <v>286</v>
      </c>
      <c r="B66" s="208">
        <f>SUM(B67:B74)</f>
        <v>106066.86445902343</v>
      </c>
      <c r="C66" s="89"/>
      <c r="D66" s="93"/>
    </row>
    <row r="67" spans="1:4" ht="16.5" hidden="1" thickBot="1" x14ac:dyDescent="0.3">
      <c r="A67" s="104" t="s">
        <v>287</v>
      </c>
      <c r="B67" s="23">
        <v>0</v>
      </c>
      <c r="C67" s="98"/>
      <c r="D67" s="108"/>
    </row>
    <row r="68" spans="1:4" ht="16.5" thickBot="1" x14ac:dyDescent="0.3">
      <c r="A68" s="104" t="s">
        <v>288</v>
      </c>
      <c r="B68" s="23">
        <f>37085*1.04*1.1194</f>
        <v>43173.466959999998</v>
      </c>
      <c r="C68" s="89"/>
      <c r="D68" s="93"/>
    </row>
    <row r="69" spans="1:4" ht="15.75" hidden="1" x14ac:dyDescent="0.25">
      <c r="A69" s="104" t="s">
        <v>289</v>
      </c>
      <c r="B69" s="23">
        <v>0</v>
      </c>
      <c r="C69" s="98"/>
      <c r="D69" s="108"/>
    </row>
    <row r="70" spans="1:4" ht="16.5" thickBot="1" x14ac:dyDescent="0.3">
      <c r="A70" s="109" t="s">
        <v>290</v>
      </c>
      <c r="B70" s="23">
        <f>'[3]34тарифы'!D164*B13*1.1194</f>
        <v>1890.5289657703097</v>
      </c>
      <c r="C70" s="93"/>
      <c r="D70" s="108"/>
    </row>
    <row r="71" spans="1:4" ht="15.75" x14ac:dyDescent="0.25">
      <c r="A71" s="109" t="s">
        <v>291</v>
      </c>
      <c r="B71" s="23">
        <f>VLOOKUP(A71,[2]Лист1!S$1:T$65536,2,FALSE)*B15</f>
        <v>7084.8917154563287</v>
      </c>
      <c r="C71" s="117"/>
      <c r="D71" s="93"/>
    </row>
    <row r="72" spans="1:4" ht="15.75" x14ac:dyDescent="0.25">
      <c r="A72" s="109" t="s">
        <v>292</v>
      </c>
      <c r="B72" s="23">
        <f>VLOOKUP(A72,[2]Лист1!S$1:T$65536,2,FALSE)*B15</f>
        <v>24732.084497796797</v>
      </c>
      <c r="C72" s="108"/>
      <c r="D72" s="93"/>
    </row>
    <row r="73" spans="1:4" ht="15.75" x14ac:dyDescent="0.25">
      <c r="A73" s="41" t="s">
        <v>293</v>
      </c>
      <c r="B73" s="23">
        <f>2654*1.04*1.1194</f>
        <v>3089.7231040000001</v>
      </c>
      <c r="C73" s="108"/>
      <c r="D73" s="93"/>
    </row>
    <row r="74" spans="1:4" ht="15.75" x14ac:dyDescent="0.25">
      <c r="A74" s="109" t="s">
        <v>294</v>
      </c>
      <c r="B74" s="23">
        <f>22416*1.04*1.1194</f>
        <v>26096.169215999998</v>
      </c>
      <c r="C74" s="108"/>
      <c r="D74" s="93"/>
    </row>
    <row r="75" spans="1:4" ht="47.25" x14ac:dyDescent="0.25">
      <c r="A75" s="118" t="s">
        <v>328</v>
      </c>
      <c r="B75" s="208">
        <f>SUM(B76:B76)</f>
        <v>52106.229745298049</v>
      </c>
      <c r="C75" s="108"/>
      <c r="D75" s="93"/>
    </row>
    <row r="76" spans="1:4" ht="15.75" x14ac:dyDescent="0.25">
      <c r="A76" s="109" t="s">
        <v>296</v>
      </c>
      <c r="B76" s="23">
        <f>'[3]34ОЭР'!D167*1.1194</f>
        <v>52106.229745298049</v>
      </c>
      <c r="C76" s="108"/>
      <c r="D76" s="93"/>
    </row>
    <row r="77" spans="1:4" s="79" customFormat="1" ht="15.75" x14ac:dyDescent="0.25">
      <c r="A77" s="116" t="s">
        <v>297</v>
      </c>
      <c r="B77" s="208">
        <f>SUM(B78:B81)</f>
        <v>46131.019866146518</v>
      </c>
      <c r="C77" s="108"/>
      <c r="D77" s="93"/>
    </row>
    <row r="78" spans="1:4" ht="32.25" thickBot="1" x14ac:dyDescent="0.3">
      <c r="A78" s="119" t="s">
        <v>329</v>
      </c>
      <c r="B78" s="23">
        <f>'[3]34тарифы'!D170*B15*1.1194</f>
        <v>36950.941297797122</v>
      </c>
      <c r="C78" s="96"/>
      <c r="D78" s="93"/>
    </row>
    <row r="79" spans="1:4" ht="16.5" hidden="1" thickBot="1" x14ac:dyDescent="0.3">
      <c r="A79" s="51" t="s">
        <v>299</v>
      </c>
      <c r="B79" s="23">
        <f>(B26/1.2)*30%</f>
        <v>0</v>
      </c>
      <c r="C79" s="98"/>
      <c r="D79" s="108"/>
    </row>
    <row r="80" spans="1:4" ht="15.75" x14ac:dyDescent="0.25">
      <c r="A80" s="120" t="s">
        <v>330</v>
      </c>
      <c r="B80" s="23">
        <f>3196.75+2617.71</f>
        <v>5814.46</v>
      </c>
      <c r="C80" s="117"/>
      <c r="D80" s="93"/>
    </row>
    <row r="81" spans="1:4" ht="15.75" x14ac:dyDescent="0.25">
      <c r="A81" s="120" t="s">
        <v>331</v>
      </c>
      <c r="B81" s="23">
        <f>'[3]34тарифы'!D173*B13*1.1194</f>
        <v>3365.6185683493991</v>
      </c>
      <c r="C81" s="108"/>
      <c r="D81" s="93"/>
    </row>
    <row r="82" spans="1:4" ht="15.75" x14ac:dyDescent="0.25">
      <c r="A82" s="121" t="s">
        <v>302</v>
      </c>
      <c r="B82" s="28">
        <f>B32+B42+B46+B66+B75+B77</f>
        <v>320588.47765620879</v>
      </c>
      <c r="C82" s="108"/>
      <c r="D82" s="93"/>
    </row>
    <row r="83" spans="1:4" ht="15.75" x14ac:dyDescent="0.25">
      <c r="A83" s="122" t="s">
        <v>303</v>
      </c>
      <c r="B83" s="23">
        <f>B82*0.03</f>
        <v>9617.6543296862637</v>
      </c>
      <c r="C83" s="108"/>
      <c r="D83" s="93"/>
    </row>
    <row r="84" spans="1:4" s="103" customFormat="1" ht="15.75" x14ac:dyDescent="0.25">
      <c r="A84" s="123" t="s">
        <v>304</v>
      </c>
      <c r="B84" s="208">
        <f>B82+B83</f>
        <v>330206.13198589504</v>
      </c>
      <c r="C84" s="108"/>
      <c r="D84" s="93"/>
    </row>
    <row r="85" spans="1:4" ht="16.5" thickBot="1" x14ac:dyDescent="0.3">
      <c r="A85" s="124" t="s">
        <v>305</v>
      </c>
      <c r="B85" s="240">
        <f>B84*0.2</f>
        <v>66041.226397179009</v>
      </c>
      <c r="C85" s="108"/>
      <c r="D85" s="93"/>
    </row>
    <row r="86" spans="1:4" s="79" customFormat="1" ht="16.5" thickBot="1" x14ac:dyDescent="0.3">
      <c r="A86" s="125" t="s">
        <v>306</v>
      </c>
      <c r="B86" s="66">
        <f>B84+B85</f>
        <v>396247.35838307405</v>
      </c>
      <c r="C86" s="89"/>
      <c r="D86" s="126"/>
    </row>
    <row r="87" spans="1:4" s="79" customFormat="1" ht="16.5" thickBot="1" x14ac:dyDescent="0.3">
      <c r="A87" s="127" t="s">
        <v>307</v>
      </c>
      <c r="B87" s="296">
        <f>B10+B24+B26+B28+B29-B86</f>
        <v>-364093.678383074</v>
      </c>
      <c r="C87" s="128"/>
      <c r="D87" s="129"/>
    </row>
    <row r="88" spans="1:4" s="79" customFormat="1" ht="16.5" thickBot="1" x14ac:dyDescent="0.3">
      <c r="A88" s="130" t="s">
        <v>308</v>
      </c>
      <c r="B88" s="66">
        <f>B10+B25+B27+B28+B29-B86</f>
        <v>-367439.13838307402</v>
      </c>
      <c r="C88" s="131"/>
      <c r="D88" s="129"/>
    </row>
    <row r="89" spans="1:4" s="79" customFormat="1" ht="16.5" hidden="1" thickBot="1" x14ac:dyDescent="0.3">
      <c r="A89" s="132" t="s">
        <v>309</v>
      </c>
      <c r="B89" s="66">
        <f>B11+B24-B25</f>
        <v>3345.460000000021</v>
      </c>
      <c r="C89" s="129"/>
      <c r="D89" s="129"/>
    </row>
    <row r="90" spans="1:4" s="79" customFormat="1" ht="15.75" x14ac:dyDescent="0.25">
      <c r="A90" s="133"/>
      <c r="B90" s="242"/>
      <c r="C90" s="129"/>
      <c r="D90" s="129"/>
    </row>
    <row r="91" spans="1:4" ht="15.75" x14ac:dyDescent="0.25">
      <c r="A91" s="134"/>
      <c r="B91" s="3"/>
      <c r="C91" s="77"/>
      <c r="D91" s="77"/>
    </row>
    <row r="92" spans="1:4" ht="15.75" x14ac:dyDescent="0.25">
      <c r="A92" s="323" t="s">
        <v>332</v>
      </c>
      <c r="B92" s="323"/>
      <c r="C92" s="77"/>
      <c r="D92" s="77"/>
    </row>
    <row r="93" spans="1:4" ht="15.75" x14ac:dyDescent="0.25">
      <c r="A93" s="134"/>
      <c r="B93" s="3"/>
      <c r="C93" s="77"/>
      <c r="D93" s="77"/>
    </row>
    <row r="94" spans="1:4" ht="15.75" hidden="1" x14ac:dyDescent="0.25">
      <c r="A94" s="324" t="s">
        <v>333</v>
      </c>
      <c r="B94" s="324"/>
      <c r="C94" s="135"/>
      <c r="D94" s="77"/>
    </row>
    <row r="95" spans="1:4" ht="15.75" x14ac:dyDescent="0.25">
      <c r="A95" s="77"/>
      <c r="B95" s="3"/>
      <c r="C95" s="77"/>
      <c r="D95" s="77"/>
    </row>
  </sheetData>
  <autoFilter ref="A31:G89" xr:uid="{00000000-0009-0000-0000-000030000000}">
    <filterColumn colId="1">
      <filters>
        <filter val="1 890,53"/>
        <filter val="106 066,86"/>
        <filter val="13 944,53"/>
        <filter val="2 139,17"/>
        <filter val="2 692,56"/>
        <filter val="20 702,90"/>
        <filter val="22 004,86"/>
        <filter val="23 453,00"/>
        <filter val="23 581,77"/>
        <filter val="24 732,08"/>
        <filter val="-249 006,08"/>
        <filter val="-252 351,54"/>
        <filter val="26 096,17"/>
        <filter val="3 089,72"/>
        <filter val="3 269,64"/>
        <filter val="3 345,46"/>
        <filter val="3 365,62"/>
        <filter val="3 623,04"/>
        <filter val="314 192,62"/>
        <filter val="323 618,40"/>
        <filter val="34 817,48"/>
        <filter val="36 950,94"/>
        <filter val="388 342,08"/>
        <filter val="43 173,47"/>
        <filter val="48 316,03"/>
        <filter val="49 304,24"/>
        <filter val="52 106,23"/>
        <filter val="52,00"/>
        <filter val="6 596,48"/>
        <filter val="64 723,68"/>
        <filter val="7 084,89"/>
        <filter val="7 999,47"/>
        <filter val="9 225,31"/>
        <filter val="9 425,78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8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G93"/>
  <sheetViews>
    <sheetView view="pageBreakPreview" topLeftCell="A39" zoomScale="80" zoomScaleNormal="100" zoomScaleSheetLayoutView="80" workbookViewId="0">
      <selection activeCell="B80" sqref="B80"/>
    </sheetView>
  </sheetViews>
  <sheetFormatPr defaultRowHeight="15.75" x14ac:dyDescent="0.25"/>
  <cols>
    <col min="1" max="1" width="91.5703125" style="3" customWidth="1"/>
    <col min="2" max="2" width="15" style="70" customWidth="1"/>
    <col min="3" max="4" width="13.85546875" style="3" customWidth="1"/>
    <col min="5" max="5" width="14.140625" style="3" customWidth="1"/>
    <col min="6" max="6" width="13.85546875" style="3" customWidth="1"/>
    <col min="7" max="7" width="14" style="3" customWidth="1"/>
    <col min="8" max="16384" width="9.140625" style="3"/>
  </cols>
  <sheetData>
    <row r="1" spans="1:4" ht="16.5" customHeight="1" x14ac:dyDescent="0.25">
      <c r="A1" s="313" t="s">
        <v>224</v>
      </c>
      <c r="B1" s="314"/>
    </row>
    <row r="2" spans="1:4" ht="16.5" x14ac:dyDescent="0.25">
      <c r="A2" s="315" t="s">
        <v>225</v>
      </c>
      <c r="B2" s="316"/>
    </row>
    <row r="3" spans="1:4" ht="16.5" x14ac:dyDescent="0.25">
      <c r="A3" s="315" t="s">
        <v>226</v>
      </c>
      <c r="B3" s="316"/>
    </row>
    <row r="4" spans="1:4" x14ac:dyDescent="0.25">
      <c r="A4" s="4" t="s">
        <v>516</v>
      </c>
      <c r="B4" s="5"/>
    </row>
    <row r="5" spans="1:4" x14ac:dyDescent="0.25">
      <c r="A5" s="4" t="s">
        <v>4</v>
      </c>
      <c r="B5" s="6"/>
    </row>
    <row r="6" spans="1:4" ht="5.25" customHeight="1" x14ac:dyDescent="0.25">
      <c r="A6" s="4"/>
      <c r="B6" s="7"/>
      <c r="C6" s="8"/>
    </row>
    <row r="7" spans="1:4" ht="16.5" thickBot="1" x14ac:dyDescent="0.3">
      <c r="A7" s="9"/>
      <c r="B7" s="7"/>
      <c r="C7" s="8"/>
    </row>
    <row r="8" spans="1:4" ht="15.75" customHeight="1" x14ac:dyDescent="0.25">
      <c r="A8" s="317" t="s">
        <v>227</v>
      </c>
      <c r="B8" s="319" t="s">
        <v>228</v>
      </c>
      <c r="C8" s="307" t="s">
        <v>229</v>
      </c>
      <c r="D8" s="307" t="s">
        <v>230</v>
      </c>
    </row>
    <row r="9" spans="1:4" ht="28.5" customHeight="1" thickBot="1" x14ac:dyDescent="0.3">
      <c r="A9" s="318"/>
      <c r="B9" s="320"/>
      <c r="C9" s="308"/>
      <c r="D9" s="308"/>
    </row>
    <row r="10" spans="1:4" ht="16.5" thickBot="1" x14ac:dyDescent="0.3">
      <c r="A10" s="10" t="s">
        <v>231</v>
      </c>
      <c r="B10" s="301">
        <f>VLOOKUP(A5,мкд!S:T,2,FALSE)</f>
        <v>481277.43</v>
      </c>
      <c r="C10" s="12"/>
      <c r="D10" s="12"/>
    </row>
    <row r="11" spans="1:4" ht="16.5" hidden="1" thickBot="1" x14ac:dyDescent="0.3">
      <c r="A11" s="13" t="s">
        <v>232</v>
      </c>
      <c r="B11" s="11"/>
      <c r="C11" s="14"/>
      <c r="D11" s="14"/>
    </row>
    <row r="12" spans="1:4" x14ac:dyDescent="0.25">
      <c r="A12" s="15" t="s">
        <v>233</v>
      </c>
      <c r="B12" s="16"/>
      <c r="C12" s="17" t="s">
        <v>234</v>
      </c>
      <c r="D12" s="18" t="s">
        <v>234</v>
      </c>
    </row>
    <row r="13" spans="1:4" hidden="1" x14ac:dyDescent="0.25">
      <c r="A13" s="19" t="s">
        <v>235</v>
      </c>
      <c r="B13" s="20">
        <v>1964.4</v>
      </c>
      <c r="C13" s="21" t="s">
        <v>234</v>
      </c>
      <c r="D13" s="22" t="s">
        <v>234</v>
      </c>
    </row>
    <row r="14" spans="1:4" hidden="1" x14ac:dyDescent="0.25">
      <c r="A14" s="19" t="s">
        <v>236</v>
      </c>
      <c r="B14" s="20">
        <v>0</v>
      </c>
      <c r="C14" s="21"/>
      <c r="D14" s="22"/>
    </row>
    <row r="15" spans="1:4" x14ac:dyDescent="0.25">
      <c r="A15" s="19" t="s">
        <v>237</v>
      </c>
      <c r="B15" s="20">
        <f>B13+B14</f>
        <v>1964.4</v>
      </c>
      <c r="C15" s="21"/>
      <c r="D15" s="22"/>
    </row>
    <row r="16" spans="1:4" x14ac:dyDescent="0.25">
      <c r="A16" s="19" t="s">
        <v>238</v>
      </c>
      <c r="B16" s="20">
        <f>2077.1+1922.7/3</f>
        <v>2718</v>
      </c>
      <c r="C16" s="21" t="s">
        <v>234</v>
      </c>
      <c r="D16" s="22" t="s">
        <v>234</v>
      </c>
    </row>
    <row r="17" spans="1:7" hidden="1" x14ac:dyDescent="0.25">
      <c r="A17" s="19" t="s">
        <v>239</v>
      </c>
      <c r="B17" s="20">
        <v>0</v>
      </c>
      <c r="C17" s="21" t="s">
        <v>234</v>
      </c>
      <c r="D17" s="22" t="s">
        <v>234</v>
      </c>
    </row>
    <row r="18" spans="1:7" hidden="1" x14ac:dyDescent="0.25">
      <c r="A18" s="19" t="s">
        <v>240</v>
      </c>
      <c r="B18" s="20">
        <v>28.4</v>
      </c>
      <c r="C18" s="21" t="s">
        <v>234</v>
      </c>
      <c r="D18" s="22" t="s">
        <v>234</v>
      </c>
    </row>
    <row r="19" spans="1:7" hidden="1" x14ac:dyDescent="0.25">
      <c r="A19" s="19" t="s">
        <v>241</v>
      </c>
      <c r="B19" s="20">
        <v>0</v>
      </c>
      <c r="C19" s="21" t="s">
        <v>234</v>
      </c>
      <c r="D19" s="22" t="s">
        <v>234</v>
      </c>
    </row>
    <row r="20" spans="1:7" hidden="1" x14ac:dyDescent="0.25">
      <c r="A20" s="19" t="s">
        <v>242</v>
      </c>
      <c r="B20" s="20">
        <v>1144.3</v>
      </c>
      <c r="C20" s="21"/>
      <c r="D20" s="22"/>
    </row>
    <row r="21" spans="1:7" hidden="1" x14ac:dyDescent="0.25">
      <c r="A21" s="19" t="s">
        <v>243</v>
      </c>
      <c r="B21" s="20">
        <v>0</v>
      </c>
      <c r="C21" s="21" t="s">
        <v>234</v>
      </c>
      <c r="D21" s="22" t="s">
        <v>234</v>
      </c>
    </row>
    <row r="22" spans="1:7" hidden="1" x14ac:dyDescent="0.25">
      <c r="A22" s="19" t="s">
        <v>244</v>
      </c>
      <c r="B22" s="20">
        <v>97</v>
      </c>
      <c r="C22" s="21"/>
      <c r="D22" s="22"/>
    </row>
    <row r="23" spans="1:7" x14ac:dyDescent="0.25">
      <c r="A23" s="19"/>
      <c r="B23" s="20"/>
      <c r="C23" s="21"/>
      <c r="D23" s="22"/>
      <c r="E23" s="3">
        <v>12</v>
      </c>
    </row>
    <row r="24" spans="1:7" x14ac:dyDescent="0.25">
      <c r="A24" s="24" t="s">
        <v>245</v>
      </c>
      <c r="B24" s="25">
        <f>VLOOKUP(A5,[1]Лист1!M$1:N$65536,2,FALSE)</f>
        <v>495028.95</v>
      </c>
      <c r="C24" s="21"/>
      <c r="D24" s="22"/>
      <c r="E24" s="26">
        <v>20.59</v>
      </c>
    </row>
    <row r="25" spans="1:7" x14ac:dyDescent="0.25">
      <c r="A25" s="24" t="s">
        <v>246</v>
      </c>
      <c r="B25" s="25">
        <f>VLOOKUP(A5,[1]Лист1!M$1:O$65536,3,FALSE)</f>
        <v>453796.17000000004</v>
      </c>
      <c r="C25" s="21"/>
      <c r="D25" s="22"/>
    </row>
    <row r="26" spans="1:7" hidden="1" x14ac:dyDescent="0.25">
      <c r="A26" s="24" t="s">
        <v>247</v>
      </c>
      <c r="B26" s="25"/>
      <c r="C26" s="21"/>
      <c r="D26" s="22"/>
    </row>
    <row r="27" spans="1:7" hidden="1" x14ac:dyDescent="0.25">
      <c r="A27" s="24" t="s">
        <v>248</v>
      </c>
      <c r="B27" s="25">
        <f>B26</f>
        <v>0</v>
      </c>
      <c r="C27" s="21"/>
      <c r="D27" s="22"/>
    </row>
    <row r="28" spans="1:7" hidden="1" x14ac:dyDescent="0.25">
      <c r="A28" s="24" t="s">
        <v>249</v>
      </c>
      <c r="B28" s="25"/>
      <c r="C28" s="21"/>
      <c r="D28" s="22"/>
    </row>
    <row r="29" spans="1:7" hidden="1" x14ac:dyDescent="0.25">
      <c r="A29" s="24" t="s">
        <v>250</v>
      </c>
      <c r="B29" s="20"/>
      <c r="C29" s="21"/>
      <c r="D29" s="22"/>
    </row>
    <row r="30" spans="1:7" x14ac:dyDescent="0.25">
      <c r="A30" s="29"/>
      <c r="B30" s="20"/>
      <c r="C30" s="21"/>
      <c r="D30" s="22"/>
    </row>
    <row r="31" spans="1:7" x14ac:dyDescent="0.25">
      <c r="A31" s="30" t="s">
        <v>251</v>
      </c>
      <c r="B31" s="20"/>
      <c r="C31" s="21"/>
      <c r="D31" s="22"/>
    </row>
    <row r="32" spans="1:7" s="34" customFormat="1" ht="31.5" x14ac:dyDescent="0.25">
      <c r="A32" s="31" t="s">
        <v>252</v>
      </c>
      <c r="B32" s="32">
        <f>SUM(B33:B41)</f>
        <v>13277.84</v>
      </c>
      <c r="C32" s="21"/>
      <c r="D32" s="22"/>
      <c r="E32" s="33">
        <f>(B24-B85)/1.2/1.03</f>
        <v>-1965.9327766990375</v>
      </c>
      <c r="F32" s="33" t="e">
        <f>(#REF!-#REF!)/1.2/1.03</f>
        <v>#REF!</v>
      </c>
      <c r="G32" s="33" t="e">
        <f>(#REF!-#REF!)/1.2/1.03</f>
        <v>#REF!</v>
      </c>
    </row>
    <row r="33" spans="1:7" x14ac:dyDescent="0.25">
      <c r="A33" s="35" t="s">
        <v>253</v>
      </c>
      <c r="B33" s="20">
        <v>12563</v>
      </c>
      <c r="C33" s="21"/>
      <c r="D33" s="22">
        <v>0</v>
      </c>
    </row>
    <row r="34" spans="1:7" x14ac:dyDescent="0.25">
      <c r="A34" s="35" t="s">
        <v>254</v>
      </c>
      <c r="B34" s="23">
        <v>0</v>
      </c>
      <c r="C34" s="21"/>
      <c r="D34" s="22">
        <v>0</v>
      </c>
    </row>
    <row r="35" spans="1:7" x14ac:dyDescent="0.25">
      <c r="A35" s="35" t="s">
        <v>255</v>
      </c>
      <c r="B35" s="20"/>
      <c r="C35" s="21"/>
      <c r="D35" s="22">
        <v>0</v>
      </c>
    </row>
    <row r="36" spans="1:7" x14ac:dyDescent="0.25">
      <c r="A36" s="36" t="s">
        <v>260</v>
      </c>
      <c r="B36" s="37">
        <v>714.84</v>
      </c>
      <c r="C36" s="21" t="s">
        <v>234</v>
      </c>
      <c r="D36" s="22">
        <v>0</v>
      </c>
    </row>
    <row r="37" spans="1:7" x14ac:dyDescent="0.25">
      <c r="A37" s="35" t="s">
        <v>257</v>
      </c>
      <c r="B37" s="23"/>
      <c r="C37" s="21"/>
      <c r="D37" s="22">
        <v>0</v>
      </c>
    </row>
    <row r="38" spans="1:7" x14ac:dyDescent="0.25">
      <c r="A38" s="35" t="s">
        <v>258</v>
      </c>
      <c r="B38" s="23">
        <v>0</v>
      </c>
      <c r="C38" s="21"/>
      <c r="D38" s="22">
        <v>0</v>
      </c>
    </row>
    <row r="39" spans="1:7" x14ac:dyDescent="0.25">
      <c r="A39" s="35" t="s">
        <v>259</v>
      </c>
      <c r="B39" s="23">
        <v>0</v>
      </c>
      <c r="C39" s="21"/>
      <c r="D39" s="22">
        <v>0</v>
      </c>
    </row>
    <row r="40" spans="1:7" x14ac:dyDescent="0.25">
      <c r="A40" s="35" t="s">
        <v>312</v>
      </c>
      <c r="B40" s="23">
        <v>0</v>
      </c>
      <c r="C40" s="21"/>
      <c r="D40" s="22"/>
    </row>
    <row r="41" spans="1:7" x14ac:dyDescent="0.25">
      <c r="A41" s="35" t="s">
        <v>253</v>
      </c>
      <c r="B41" s="38"/>
      <c r="C41" s="21"/>
      <c r="D41" s="22"/>
    </row>
    <row r="42" spans="1:7" s="34" customFormat="1" ht="47.25" x14ac:dyDescent="0.25">
      <c r="A42" s="31" t="s">
        <v>261</v>
      </c>
      <c r="B42" s="32">
        <f>SUM(B43:B45)</f>
        <v>13152</v>
      </c>
      <c r="C42" s="21"/>
      <c r="D42" s="22"/>
      <c r="E42" s="33"/>
      <c r="F42" s="33"/>
      <c r="G42" s="33"/>
    </row>
    <row r="43" spans="1:7" x14ac:dyDescent="0.25">
      <c r="A43" s="35" t="s">
        <v>262</v>
      </c>
      <c r="B43" s="20"/>
      <c r="C43" s="39"/>
      <c r="D43" s="40"/>
    </row>
    <row r="44" spans="1:7" x14ac:dyDescent="0.25">
      <c r="A44" s="35" t="s">
        <v>263</v>
      </c>
      <c r="B44" s="20">
        <v>831</v>
      </c>
      <c r="C44" s="39"/>
      <c r="D44" s="40"/>
    </row>
    <row r="45" spans="1:7" x14ac:dyDescent="0.25">
      <c r="A45" s="41" t="s">
        <v>264</v>
      </c>
      <c r="B45" s="20">
        <v>12321</v>
      </c>
      <c r="C45" s="39"/>
      <c r="D45" s="40"/>
    </row>
    <row r="46" spans="1:7" s="8" customFormat="1" x14ac:dyDescent="0.25">
      <c r="A46" s="31" t="s">
        <v>265</v>
      </c>
      <c r="B46" s="32">
        <f>SUM(B47:B64)</f>
        <v>26326.6</v>
      </c>
      <c r="C46" s="21"/>
      <c r="D46" s="22"/>
    </row>
    <row r="47" spans="1:7" x14ac:dyDescent="0.25">
      <c r="A47" s="35" t="s">
        <v>266</v>
      </c>
      <c r="B47" s="20">
        <v>119.28</v>
      </c>
      <c r="C47" s="21"/>
      <c r="D47" s="22"/>
      <c r="E47" s="3" t="s">
        <v>267</v>
      </c>
    </row>
    <row r="48" spans="1:7" hidden="1" x14ac:dyDescent="0.25">
      <c r="A48" s="35" t="s">
        <v>268</v>
      </c>
      <c r="B48" s="20">
        <v>0</v>
      </c>
      <c r="C48" s="21"/>
      <c r="D48" s="22"/>
      <c r="E48" s="3" t="s">
        <v>269</v>
      </c>
    </row>
    <row r="49" spans="1:5" hidden="1" x14ac:dyDescent="0.25">
      <c r="A49" s="42" t="s">
        <v>270</v>
      </c>
      <c r="B49" s="43">
        <v>0</v>
      </c>
      <c r="C49" s="21"/>
      <c r="D49" s="22"/>
    </row>
    <row r="50" spans="1:5" hidden="1" x14ac:dyDescent="0.25">
      <c r="A50" s="42" t="s">
        <v>271</v>
      </c>
      <c r="B50" s="43">
        <v>0</v>
      </c>
      <c r="C50" s="21"/>
      <c r="D50" s="22"/>
    </row>
    <row r="51" spans="1:5" hidden="1" x14ac:dyDescent="0.25">
      <c r="A51" s="42" t="s">
        <v>272</v>
      </c>
      <c r="B51" s="43">
        <v>0</v>
      </c>
      <c r="C51" s="21"/>
      <c r="D51" s="22"/>
    </row>
    <row r="52" spans="1:5" x14ac:dyDescent="0.25">
      <c r="A52" s="42" t="s">
        <v>282</v>
      </c>
      <c r="B52" s="43">
        <v>761.71</v>
      </c>
      <c r="C52" s="21"/>
      <c r="D52" s="22"/>
    </row>
    <row r="53" spans="1:5" hidden="1" x14ac:dyDescent="0.25">
      <c r="A53" s="42" t="s">
        <v>274</v>
      </c>
      <c r="B53" s="20">
        <v>0</v>
      </c>
      <c r="C53" s="21">
        <v>0</v>
      </c>
      <c r="D53" s="22">
        <v>522.99</v>
      </c>
    </row>
    <row r="54" spans="1:5" hidden="1" x14ac:dyDescent="0.25">
      <c r="A54" s="42" t="s">
        <v>275</v>
      </c>
      <c r="B54" s="20">
        <v>0</v>
      </c>
      <c r="C54" s="21"/>
      <c r="D54" s="44"/>
    </row>
    <row r="55" spans="1:5" hidden="1" x14ac:dyDescent="0.25">
      <c r="A55" s="42" t="s">
        <v>276</v>
      </c>
      <c r="B55" s="20">
        <v>0</v>
      </c>
      <c r="C55" s="21"/>
      <c r="D55" s="44"/>
    </row>
    <row r="56" spans="1:5" hidden="1" x14ac:dyDescent="0.25">
      <c r="A56" s="42" t="s">
        <v>277</v>
      </c>
      <c r="B56" s="20">
        <v>0</v>
      </c>
      <c r="C56" s="21">
        <v>0</v>
      </c>
      <c r="D56" s="22">
        <f>10695.76/1.18</f>
        <v>9064.203389830509</v>
      </c>
    </row>
    <row r="57" spans="1:5" hidden="1" x14ac:dyDescent="0.25">
      <c r="A57" s="42" t="s">
        <v>314</v>
      </c>
      <c r="B57" s="20">
        <v>0</v>
      </c>
      <c r="C57" s="21">
        <v>0</v>
      </c>
      <c r="D57" s="22">
        <f>2300/1.18</f>
        <v>1949.1525423728815</v>
      </c>
    </row>
    <row r="58" spans="1:5" x14ac:dyDescent="0.25">
      <c r="A58" s="42" t="s">
        <v>268</v>
      </c>
      <c r="B58" s="20">
        <v>144.84</v>
      </c>
      <c r="C58" s="21">
        <v>0</v>
      </c>
      <c r="D58" s="22">
        <v>0</v>
      </c>
    </row>
    <row r="59" spans="1:5" x14ac:dyDescent="0.25">
      <c r="A59" s="35" t="s">
        <v>280</v>
      </c>
      <c r="B59" s="20">
        <v>0</v>
      </c>
      <c r="C59" s="21"/>
      <c r="D59" s="22"/>
    </row>
    <row r="60" spans="1:5" x14ac:dyDescent="0.25">
      <c r="A60" s="35" t="s">
        <v>316</v>
      </c>
      <c r="B60" s="20"/>
      <c r="C60" s="21"/>
      <c r="D60" s="22">
        <v>0</v>
      </c>
    </row>
    <row r="61" spans="1:5" x14ac:dyDescent="0.25">
      <c r="A61" s="35" t="s">
        <v>318</v>
      </c>
      <c r="B61" s="20"/>
      <c r="C61" s="21"/>
      <c r="D61" s="22">
        <v>0</v>
      </c>
    </row>
    <row r="62" spans="1:5" x14ac:dyDescent="0.25">
      <c r="A62" s="35" t="s">
        <v>283</v>
      </c>
      <c r="B62" s="45">
        <v>25300.77</v>
      </c>
      <c r="C62" s="46">
        <v>1</v>
      </c>
      <c r="D62" s="22">
        <v>0</v>
      </c>
    </row>
    <row r="63" spans="1:5" x14ac:dyDescent="0.25">
      <c r="A63" s="35" t="s">
        <v>284</v>
      </c>
      <c r="B63" s="45">
        <v>0</v>
      </c>
      <c r="C63" s="46">
        <v>48</v>
      </c>
      <c r="D63" s="22">
        <v>1</v>
      </c>
      <c r="E63" s="3">
        <v>1</v>
      </c>
    </row>
    <row r="64" spans="1:5" x14ac:dyDescent="0.25">
      <c r="A64" s="35" t="s">
        <v>285</v>
      </c>
      <c r="B64" s="45">
        <v>0</v>
      </c>
      <c r="C64" s="48"/>
      <c r="D64" s="40">
        <v>0</v>
      </c>
    </row>
    <row r="65" spans="1:4" s="8" customFormat="1" x14ac:dyDescent="0.25">
      <c r="A65" s="49" t="s">
        <v>286</v>
      </c>
      <c r="B65" s="32">
        <f>SUM(B66:B73)</f>
        <v>196065.59200000003</v>
      </c>
      <c r="C65" s="39"/>
      <c r="D65" s="40"/>
    </row>
    <row r="66" spans="1:4" x14ac:dyDescent="0.25">
      <c r="A66" s="35" t="s">
        <v>287</v>
      </c>
      <c r="B66" s="20">
        <v>0</v>
      </c>
      <c r="C66" s="39"/>
      <c r="D66" s="40"/>
    </row>
    <row r="67" spans="1:4" x14ac:dyDescent="0.25">
      <c r="A67" s="35" t="s">
        <v>288</v>
      </c>
      <c r="B67" s="20">
        <f>105328*1.04*1.12</f>
        <v>122686.05440000002</v>
      </c>
      <c r="C67" s="39"/>
      <c r="D67" s="40"/>
    </row>
    <row r="68" spans="1:4" x14ac:dyDescent="0.25">
      <c r="A68" s="35" t="s">
        <v>289</v>
      </c>
      <c r="B68" s="20">
        <v>0</v>
      </c>
      <c r="C68" s="39"/>
      <c r="D68" s="40"/>
    </row>
    <row r="69" spans="1:4" x14ac:dyDescent="0.25">
      <c r="A69" s="41" t="s">
        <v>290</v>
      </c>
      <c r="B69" s="20">
        <v>0</v>
      </c>
      <c r="C69" s="39"/>
      <c r="D69" s="40"/>
    </row>
    <row r="70" spans="1:4" x14ac:dyDescent="0.25">
      <c r="A70" s="41" t="s">
        <v>291</v>
      </c>
      <c r="B70" s="20">
        <v>12563</v>
      </c>
      <c r="C70" s="39"/>
      <c r="D70" s="40"/>
    </row>
    <row r="71" spans="1:4" x14ac:dyDescent="0.25">
      <c r="A71" s="41" t="s">
        <v>292</v>
      </c>
      <c r="B71" s="20">
        <f>20063*1.04*1.12</f>
        <v>23369.382400000002</v>
      </c>
      <c r="C71" s="39"/>
      <c r="D71" s="40"/>
    </row>
    <row r="72" spans="1:4" x14ac:dyDescent="0.25">
      <c r="A72" s="41" t="s">
        <v>293</v>
      </c>
      <c r="B72" s="20">
        <f>3404*1.04*1.12</f>
        <v>3964.9792000000007</v>
      </c>
      <c r="C72" s="39"/>
      <c r="D72" s="40"/>
    </row>
    <row r="73" spans="1:4" x14ac:dyDescent="0.25">
      <c r="A73" s="41" t="s">
        <v>294</v>
      </c>
      <c r="B73" s="20">
        <f>28745*1.04*1.12</f>
        <v>33482.175999999999</v>
      </c>
      <c r="C73" s="39"/>
      <c r="D73" s="40"/>
    </row>
    <row r="74" spans="1:4" ht="63" x14ac:dyDescent="0.25">
      <c r="A74" s="50" t="s">
        <v>295</v>
      </c>
      <c r="B74" s="32">
        <f>SUM(B75:B75)</f>
        <v>93654</v>
      </c>
      <c r="C74" s="39"/>
      <c r="D74" s="40"/>
    </row>
    <row r="75" spans="1:4" x14ac:dyDescent="0.25">
      <c r="A75" s="41" t="s">
        <v>296</v>
      </c>
      <c r="B75" s="20">
        <v>93654</v>
      </c>
      <c r="C75" s="39"/>
      <c r="D75" s="40"/>
    </row>
    <row r="76" spans="1:4" s="8" customFormat="1" x14ac:dyDescent="0.25">
      <c r="A76" s="49" t="s">
        <v>297</v>
      </c>
      <c r="B76" s="32">
        <f>SUM(B77:B80)</f>
        <v>59998.76</v>
      </c>
      <c r="C76" s="39"/>
      <c r="D76" s="40"/>
    </row>
    <row r="77" spans="1:4" x14ac:dyDescent="0.25">
      <c r="A77" s="51" t="s">
        <v>298</v>
      </c>
      <c r="B77" s="20">
        <v>43621</v>
      </c>
      <c r="C77" s="39"/>
      <c r="D77" s="40"/>
    </row>
    <row r="78" spans="1:4" x14ac:dyDescent="0.25">
      <c r="A78" s="51" t="s">
        <v>299</v>
      </c>
      <c r="B78" s="20">
        <f>(B26/1.2)*30%</f>
        <v>0</v>
      </c>
      <c r="C78" s="39"/>
      <c r="D78" s="40"/>
    </row>
    <row r="79" spans="1:4" x14ac:dyDescent="0.25">
      <c r="A79" s="52" t="s">
        <v>300</v>
      </c>
      <c r="B79" s="20">
        <f>6410.38+5411.38</f>
        <v>11821.76</v>
      </c>
      <c r="C79" s="39"/>
      <c r="D79" s="40"/>
    </row>
    <row r="80" spans="1:4" x14ac:dyDescent="0.25">
      <c r="A80" s="52" t="s">
        <v>301</v>
      </c>
      <c r="B80" s="20">
        <v>4556</v>
      </c>
      <c r="C80" s="39"/>
      <c r="D80" s="40"/>
    </row>
    <row r="81" spans="1:4" x14ac:dyDescent="0.25">
      <c r="A81" s="53" t="s">
        <v>302</v>
      </c>
      <c r="B81" s="25">
        <f>B32+B42+B46+B65+B74+B76</f>
        <v>402474.79200000002</v>
      </c>
      <c r="C81" s="39"/>
      <c r="D81" s="40"/>
    </row>
    <row r="82" spans="1:4" x14ac:dyDescent="0.25">
      <c r="A82" s="54" t="s">
        <v>303</v>
      </c>
      <c r="B82" s="20">
        <f>B81*0.03</f>
        <v>12074.243759999999</v>
      </c>
      <c r="C82" s="39"/>
      <c r="D82" s="40"/>
    </row>
    <row r="83" spans="1:4" s="34" customFormat="1" x14ac:dyDescent="0.25">
      <c r="A83" s="55" t="s">
        <v>304</v>
      </c>
      <c r="B83" s="32">
        <f>B81+B82</f>
        <v>414549.03576</v>
      </c>
      <c r="C83" s="39"/>
      <c r="D83" s="40"/>
    </row>
    <row r="84" spans="1:4" ht="16.5" thickBot="1" x14ac:dyDescent="0.3">
      <c r="A84" s="56" t="s">
        <v>305</v>
      </c>
      <c r="B84" s="57">
        <f>B83*0.2</f>
        <v>82909.807152000009</v>
      </c>
      <c r="C84" s="39"/>
      <c r="D84" s="40"/>
    </row>
    <row r="85" spans="1:4" s="8" customFormat="1" ht="16.5" thickBot="1" x14ac:dyDescent="0.3">
      <c r="A85" s="58" t="s">
        <v>306</v>
      </c>
      <c r="B85" s="59">
        <f>B83+B84</f>
        <v>497458.84291200002</v>
      </c>
      <c r="C85" s="60"/>
      <c r="D85" s="61"/>
    </row>
    <row r="86" spans="1:4" s="8" customFormat="1" ht="16.5" thickBot="1" x14ac:dyDescent="0.3">
      <c r="A86" s="62" t="s">
        <v>307</v>
      </c>
      <c r="B86" s="59">
        <f>B10+B24+B26+B28+B29-B85</f>
        <v>478847.53708799998</v>
      </c>
      <c r="C86" s="63"/>
      <c r="D86" s="63"/>
    </row>
    <row r="87" spans="1:4" s="8" customFormat="1" ht="16.5" thickBot="1" x14ac:dyDescent="0.3">
      <c r="A87" s="64" t="s">
        <v>308</v>
      </c>
      <c r="B87" s="296">
        <f>B10+B25+B27++B28+B29-B85</f>
        <v>437614.75708800007</v>
      </c>
      <c r="C87" s="63"/>
      <c r="D87" s="63"/>
    </row>
    <row r="88" spans="1:4" s="8" customFormat="1" ht="16.5" thickBot="1" x14ac:dyDescent="0.3">
      <c r="A88" s="65" t="s">
        <v>309</v>
      </c>
      <c r="B88" s="59">
        <f>B11+B24-B25</f>
        <v>41232.77999999997</v>
      </c>
      <c r="C88" s="63"/>
      <c r="D88" s="63"/>
    </row>
    <row r="89" spans="1:4" s="8" customFormat="1" hidden="1" x14ac:dyDescent="0.25">
      <c r="A89" s="67"/>
      <c r="B89" s="68"/>
      <c r="C89" s="63"/>
      <c r="D89" s="63"/>
    </row>
    <row r="90" spans="1:4" x14ac:dyDescent="0.25">
      <c r="A90" s="69"/>
    </row>
    <row r="91" spans="1:4" x14ac:dyDescent="0.25">
      <c r="A91" s="309" t="s">
        <v>310</v>
      </c>
      <c r="B91" s="310"/>
    </row>
    <row r="92" spans="1:4" x14ac:dyDescent="0.25">
      <c r="A92" s="69"/>
      <c r="B92" s="71"/>
    </row>
    <row r="93" spans="1:4" x14ac:dyDescent="0.25">
      <c r="A93" s="311"/>
      <c r="B93" s="312"/>
      <c r="C93" s="72"/>
    </row>
  </sheetData>
  <autoFilter ref="A32:B88" xr:uid="{00000000-0009-0000-0000-000004000000}"/>
  <mergeCells count="9">
    <mergeCell ref="D8:D9"/>
    <mergeCell ref="A91:B91"/>
    <mergeCell ref="A93:B93"/>
    <mergeCell ref="A1:B1"/>
    <mergeCell ref="A2:B2"/>
    <mergeCell ref="A3:B3"/>
    <mergeCell ref="A8:A9"/>
    <mergeCell ref="B8:B9"/>
    <mergeCell ref="C8:C9"/>
  </mergeCells>
  <phoneticPr fontId="43" type="noConversion"/>
  <pageMargins left="0.70866141732283472" right="0.70866141732283472" top="0.74803149606299213" bottom="0.74803149606299213" header="0.31496062992125984" footer="0.31496062992125984"/>
  <pageSetup paperSize="9" scale="60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filterMode="1">
    <pageSetUpPr fitToPage="1"/>
  </sheetPr>
  <dimension ref="A1:G95"/>
  <sheetViews>
    <sheetView view="pageBreakPreview" topLeftCell="A44" zoomScale="80" zoomScaleNormal="100" zoomScaleSheetLayoutView="80" workbookViewId="0">
      <selection activeCell="B81" sqref="B81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25" t="s">
        <v>224</v>
      </c>
      <c r="B1" s="313"/>
      <c r="C1" s="77"/>
      <c r="D1" s="77"/>
    </row>
    <row r="2" spans="1:4" ht="16.5" x14ac:dyDescent="0.25">
      <c r="A2" s="326" t="s">
        <v>225</v>
      </c>
      <c r="B2" s="315"/>
      <c r="C2" s="77"/>
      <c r="D2" s="77"/>
    </row>
    <row r="3" spans="1:4" ht="16.5" x14ac:dyDescent="0.25">
      <c r="A3" s="326" t="s">
        <v>226</v>
      </c>
      <c r="B3" s="315"/>
      <c r="C3" s="77"/>
      <c r="D3" s="77"/>
    </row>
    <row r="4" spans="1:4" ht="15.75" x14ac:dyDescent="0.25">
      <c r="A4" s="78" t="s">
        <v>516</v>
      </c>
      <c r="B4" s="4"/>
      <c r="C4" s="77"/>
      <c r="D4" s="77"/>
    </row>
    <row r="5" spans="1:4" ht="15.75" x14ac:dyDescent="0.25">
      <c r="A5" s="78" t="s">
        <v>113</v>
      </c>
      <c r="B5" s="4"/>
      <c r="C5" s="77"/>
      <c r="D5" s="77"/>
    </row>
    <row r="6" spans="1:4" ht="5.25" customHeight="1" x14ac:dyDescent="0.25">
      <c r="A6" s="78"/>
      <c r="B6" s="8"/>
      <c r="C6" s="79"/>
      <c r="D6" s="77"/>
    </row>
    <row r="7" spans="1:4" ht="16.5" thickBot="1" x14ac:dyDescent="0.3">
      <c r="A7" s="80"/>
      <c r="B7" s="8"/>
      <c r="C7" s="79"/>
      <c r="D7" s="77"/>
    </row>
    <row r="8" spans="1:4" ht="15.75" customHeight="1" x14ac:dyDescent="0.2">
      <c r="A8" s="327" t="s">
        <v>227</v>
      </c>
      <c r="B8" s="329" t="s">
        <v>228</v>
      </c>
      <c r="C8" s="331" t="s">
        <v>229</v>
      </c>
      <c r="D8" s="321" t="s">
        <v>230</v>
      </c>
    </row>
    <row r="9" spans="1:4" ht="28.5" customHeight="1" thickBot="1" x14ac:dyDescent="0.25">
      <c r="A9" s="328"/>
      <c r="B9" s="330"/>
      <c r="C9" s="332"/>
      <c r="D9" s="322"/>
    </row>
    <row r="10" spans="1:4" ht="16.5" thickBot="1" x14ac:dyDescent="0.25">
      <c r="A10" s="81" t="s">
        <v>231</v>
      </c>
      <c r="B10" s="302">
        <f>VLOOKUP(A5,мкд!S:T,2,FALSE)</f>
        <v>-1010279.47</v>
      </c>
      <c r="C10" s="83"/>
      <c r="D10" s="84"/>
    </row>
    <row r="11" spans="1:4" ht="16.5" hidden="1" thickBot="1" x14ac:dyDescent="0.25">
      <c r="A11" s="85" t="s">
        <v>232</v>
      </c>
      <c r="B11" s="291"/>
      <c r="C11" s="84"/>
      <c r="D11" s="86"/>
    </row>
    <row r="12" spans="1:4" ht="16.5" thickBot="1" x14ac:dyDescent="0.3">
      <c r="A12" s="87" t="s">
        <v>233</v>
      </c>
      <c r="B12" s="217"/>
      <c r="C12" s="89" t="s">
        <v>234</v>
      </c>
      <c r="D12" s="90" t="s">
        <v>234</v>
      </c>
    </row>
    <row r="13" spans="1:4" ht="16.5" hidden="1" thickBot="1" x14ac:dyDescent="0.3">
      <c r="A13" s="91" t="s">
        <v>235</v>
      </c>
      <c r="B13" s="23">
        <v>1427.8</v>
      </c>
      <c r="C13" s="90" t="s">
        <v>234</v>
      </c>
      <c r="D13" s="92" t="s">
        <v>234</v>
      </c>
    </row>
    <row r="14" spans="1:4" ht="16.5" hidden="1" thickBot="1" x14ac:dyDescent="0.3">
      <c r="A14" s="91" t="s">
        <v>236</v>
      </c>
      <c r="B14" s="23">
        <v>96.2</v>
      </c>
      <c r="C14" s="93"/>
      <c r="D14" s="92"/>
    </row>
    <row r="15" spans="1:4" ht="16.5" hidden="1" thickBot="1" x14ac:dyDescent="0.3">
      <c r="A15" s="91" t="s">
        <v>237</v>
      </c>
      <c r="B15" s="23">
        <f>B13+B14</f>
        <v>1524</v>
      </c>
      <c r="C15" s="94"/>
      <c r="D15" s="95"/>
    </row>
    <row r="16" spans="1:4" ht="16.5" hidden="1" thickBot="1" x14ac:dyDescent="0.3">
      <c r="A16" s="91" t="s">
        <v>238</v>
      </c>
      <c r="B16" s="23">
        <f>1102.6+1011.3/3</f>
        <v>1439.6999999999998</v>
      </c>
      <c r="C16" s="96" t="s">
        <v>234</v>
      </c>
      <c r="D16" s="95" t="s">
        <v>234</v>
      </c>
    </row>
    <row r="17" spans="1:7" ht="16.5" hidden="1" thickBot="1" x14ac:dyDescent="0.3">
      <c r="A17" s="91" t="s">
        <v>239</v>
      </c>
      <c r="B17" s="147">
        <v>0</v>
      </c>
      <c r="C17" s="90" t="s">
        <v>234</v>
      </c>
      <c r="D17" s="92" t="s">
        <v>234</v>
      </c>
      <c r="E17" s="77"/>
      <c r="F17" s="77"/>
      <c r="G17" s="77"/>
    </row>
    <row r="18" spans="1:7" ht="16.5" hidden="1" thickBot="1" x14ac:dyDescent="0.3">
      <c r="A18" s="91" t="s">
        <v>240</v>
      </c>
      <c r="B18" s="147">
        <v>639.5</v>
      </c>
      <c r="C18" s="95" t="s">
        <v>234</v>
      </c>
      <c r="D18" s="92" t="s">
        <v>234</v>
      </c>
      <c r="E18" s="77"/>
      <c r="F18" s="77"/>
      <c r="G18" s="77"/>
    </row>
    <row r="19" spans="1:7" ht="16.5" hidden="1" thickBot="1" x14ac:dyDescent="0.3">
      <c r="A19" s="91" t="s">
        <v>241</v>
      </c>
      <c r="B19" s="147">
        <v>0</v>
      </c>
      <c r="C19" s="95" t="s">
        <v>234</v>
      </c>
      <c r="D19" s="92" t="s">
        <v>234</v>
      </c>
      <c r="E19" s="77"/>
      <c r="F19" s="77"/>
      <c r="G19" s="77"/>
    </row>
    <row r="20" spans="1:7" ht="16.5" hidden="1" thickBot="1" x14ac:dyDescent="0.3">
      <c r="A20" s="91" t="s">
        <v>242</v>
      </c>
      <c r="B20" s="147">
        <v>826</v>
      </c>
      <c r="C20" s="95"/>
      <c r="D20" s="92"/>
      <c r="E20" s="77"/>
      <c r="F20" s="77"/>
      <c r="G20" s="77"/>
    </row>
    <row r="21" spans="1:7" ht="16.5" hidden="1" thickBot="1" x14ac:dyDescent="0.3">
      <c r="A21" s="91" t="s">
        <v>243</v>
      </c>
      <c r="B21" s="147">
        <v>0</v>
      </c>
      <c r="C21" s="95" t="s">
        <v>234</v>
      </c>
      <c r="D21" s="92" t="s">
        <v>234</v>
      </c>
      <c r="E21" s="77"/>
      <c r="F21" s="77"/>
      <c r="G21" s="77"/>
    </row>
    <row r="22" spans="1:7" ht="16.5" hidden="1" thickBot="1" x14ac:dyDescent="0.3">
      <c r="A22" s="91" t="s">
        <v>244</v>
      </c>
      <c r="B22" s="147">
        <v>75</v>
      </c>
      <c r="C22" s="93"/>
      <c r="D22" s="92"/>
      <c r="E22" s="77"/>
      <c r="F22" s="77"/>
      <c r="G22" s="77"/>
    </row>
    <row r="23" spans="1:7" ht="15.75" x14ac:dyDescent="0.25">
      <c r="A23" s="91"/>
      <c r="B23" s="23"/>
      <c r="C23" s="94"/>
      <c r="D23" s="95"/>
      <c r="E23" s="77">
        <v>10</v>
      </c>
      <c r="F23" s="77">
        <v>2</v>
      </c>
      <c r="G23" s="77"/>
    </row>
    <row r="24" spans="1:7" ht="15.75" x14ac:dyDescent="0.25">
      <c r="A24" s="97" t="s">
        <v>319</v>
      </c>
      <c r="B24" s="28">
        <f>VLOOKUP(A5,[2]Лист1!M$1:N$65536,2,FALSE)</f>
        <v>189175.08</v>
      </c>
      <c r="C24" s="92"/>
      <c r="D24" s="95"/>
      <c r="E24" s="26">
        <v>11.01</v>
      </c>
      <c r="F24" s="256">
        <v>12.324593999999999</v>
      </c>
      <c r="G24" s="77"/>
    </row>
    <row r="25" spans="1:7" ht="16.5" thickBot="1" x14ac:dyDescent="0.3">
      <c r="A25" s="97" t="s">
        <v>320</v>
      </c>
      <c r="B25" s="28">
        <f>VLOOKUP(A5,[2]Лист1!M$1:O$65536,3,FALSE)</f>
        <v>198392.79</v>
      </c>
      <c r="C25" s="96"/>
      <c r="D25" s="95"/>
      <c r="E25" s="77"/>
      <c r="F25" s="77"/>
      <c r="G25" s="77"/>
    </row>
    <row r="26" spans="1:7" ht="15.75" x14ac:dyDescent="0.25">
      <c r="A26" s="97" t="s">
        <v>353</v>
      </c>
      <c r="B26" s="28">
        <v>17031.14</v>
      </c>
      <c r="C26" s="90"/>
      <c r="D26" s="92"/>
      <c r="E26" s="77"/>
      <c r="F26" s="77"/>
      <c r="G26" s="77"/>
    </row>
    <row r="27" spans="1:7" ht="16.5" thickBot="1" x14ac:dyDescent="0.3">
      <c r="A27" s="97" t="s">
        <v>354</v>
      </c>
      <c r="B27" s="282">
        <v>12472.11</v>
      </c>
      <c r="C27" s="93"/>
      <c r="D27" s="92"/>
      <c r="E27" s="77"/>
      <c r="F27" s="77"/>
      <c r="G27" s="77"/>
    </row>
    <row r="28" spans="1:7" ht="16.5" thickBot="1" x14ac:dyDescent="0.3">
      <c r="A28" s="97" t="s">
        <v>249</v>
      </c>
      <c r="B28" s="28">
        <v>7459.44</v>
      </c>
      <c r="C28" s="89"/>
      <c r="D28" s="95"/>
      <c r="E28" s="77"/>
      <c r="F28" s="77"/>
      <c r="G28" s="77"/>
    </row>
    <row r="29" spans="1:7" ht="16.5" hidden="1" thickBot="1" x14ac:dyDescent="0.3">
      <c r="A29" s="97" t="s">
        <v>250</v>
      </c>
      <c r="B29" s="282"/>
      <c r="C29" s="98"/>
      <c r="D29" s="92"/>
      <c r="E29" s="77"/>
      <c r="F29" s="77"/>
      <c r="G29" s="77"/>
    </row>
    <row r="30" spans="1:7" ht="15.75" x14ac:dyDescent="0.25">
      <c r="A30" s="99"/>
      <c r="B30" s="23"/>
      <c r="C30" s="94"/>
      <c r="D30" s="95"/>
      <c r="E30" s="77"/>
      <c r="F30" s="77"/>
      <c r="G30" s="77"/>
    </row>
    <row r="31" spans="1:7" ht="15.75" x14ac:dyDescent="0.25">
      <c r="A31" s="100" t="s">
        <v>251</v>
      </c>
      <c r="B31" s="23"/>
      <c r="C31" s="92"/>
      <c r="D31" s="95"/>
      <c r="E31" s="77"/>
      <c r="F31" s="77"/>
      <c r="G31" s="77"/>
    </row>
    <row r="32" spans="1:7" s="103" customFormat="1" ht="31.5" x14ac:dyDescent="0.25">
      <c r="A32" s="101" t="s">
        <v>252</v>
      </c>
      <c r="B32" s="208">
        <f>SUM(B33:B41)</f>
        <v>17053.414226427081</v>
      </c>
      <c r="C32" s="92"/>
      <c r="D32" s="95"/>
      <c r="E32" s="102">
        <f>(B86-B26-B24)/1.2/1.03</f>
        <v>151404.59626394106</v>
      </c>
      <c r="F32" s="102" t="e">
        <f>(#REF!-#REF!-#REF!)/1.2/1.03</f>
        <v>#REF!</v>
      </c>
      <c r="G32" s="102" t="e">
        <f>(#REF!-#REF!-#REF!)/1.2/1.03</f>
        <v>#REF!</v>
      </c>
    </row>
    <row r="33" spans="1:7" ht="16.5" thickBot="1" x14ac:dyDescent="0.3">
      <c r="A33" s="104" t="s">
        <v>253</v>
      </c>
      <c r="B33" s="23">
        <f>11403.26*1.1194</f>
        <v>12764.809244</v>
      </c>
      <c r="C33" s="96"/>
      <c r="D33" s="95">
        <v>11459.9</v>
      </c>
      <c r="E33" s="77"/>
      <c r="F33" s="77"/>
      <c r="G33" s="77"/>
    </row>
    <row r="34" spans="1:7" ht="15.75" hidden="1" x14ac:dyDescent="0.25">
      <c r="A34" s="104" t="s">
        <v>322</v>
      </c>
      <c r="B34" s="292">
        <v>0</v>
      </c>
      <c r="C34" s="90"/>
      <c r="D34" s="92">
        <v>0</v>
      </c>
      <c r="E34" s="77"/>
      <c r="F34" s="77"/>
      <c r="G34" s="77"/>
    </row>
    <row r="35" spans="1:7" ht="15.75" hidden="1" x14ac:dyDescent="0.25">
      <c r="A35" s="104" t="s">
        <v>256</v>
      </c>
      <c r="B35" s="23"/>
      <c r="C35" s="95"/>
      <c r="D35" s="92">
        <v>0</v>
      </c>
      <c r="E35" s="77"/>
      <c r="F35" s="77"/>
      <c r="G35" s="77"/>
    </row>
    <row r="36" spans="1:7" ht="16.5" thickBot="1" x14ac:dyDescent="0.3">
      <c r="A36" s="104" t="s">
        <v>255</v>
      </c>
      <c r="B36" s="23">
        <v>4288.6049824270813</v>
      </c>
      <c r="C36" s="95" t="s">
        <v>234</v>
      </c>
      <c r="D36" s="92">
        <v>0</v>
      </c>
      <c r="E36" s="77"/>
      <c r="F36" s="77"/>
      <c r="G36" s="77"/>
    </row>
    <row r="37" spans="1:7" ht="16.5" hidden="1" thickBot="1" x14ac:dyDescent="0.3">
      <c r="A37" s="104" t="s">
        <v>257</v>
      </c>
      <c r="B37" s="147"/>
      <c r="C37" s="95"/>
      <c r="D37" s="92">
        <v>0</v>
      </c>
      <c r="E37" s="77"/>
      <c r="F37" s="77"/>
      <c r="G37" s="77"/>
    </row>
    <row r="38" spans="1:7" ht="16.5" hidden="1" thickBot="1" x14ac:dyDescent="0.3">
      <c r="A38" s="104" t="s">
        <v>258</v>
      </c>
      <c r="B38" s="147">
        <v>0</v>
      </c>
      <c r="C38" s="95"/>
      <c r="D38" s="92">
        <v>0</v>
      </c>
      <c r="E38" s="77"/>
      <c r="F38" s="77"/>
      <c r="G38" s="77"/>
    </row>
    <row r="39" spans="1:7" ht="16.5" hidden="1" thickBot="1" x14ac:dyDescent="0.3">
      <c r="A39" s="104" t="s">
        <v>324</v>
      </c>
      <c r="B39" s="147">
        <v>0</v>
      </c>
      <c r="C39" s="95"/>
      <c r="D39" s="92">
        <v>0</v>
      </c>
      <c r="E39" s="77"/>
      <c r="F39" s="77"/>
      <c r="G39" s="77"/>
    </row>
    <row r="40" spans="1:7" ht="16.5" hidden="1" thickBot="1" x14ac:dyDescent="0.3">
      <c r="A40" s="104" t="s">
        <v>312</v>
      </c>
      <c r="B40" s="147">
        <v>0</v>
      </c>
      <c r="C40" s="95"/>
      <c r="D40" s="92"/>
      <c r="E40" s="77"/>
      <c r="F40" s="77"/>
      <c r="G40" s="77"/>
    </row>
    <row r="41" spans="1:7" ht="16.5" hidden="1" thickBot="1" x14ac:dyDescent="0.3">
      <c r="A41" s="104" t="s">
        <v>342</v>
      </c>
      <c r="B41" s="147"/>
      <c r="C41" s="93"/>
      <c r="D41" s="92"/>
      <c r="E41" s="77"/>
      <c r="F41" s="77"/>
      <c r="G41" s="77"/>
    </row>
    <row r="42" spans="1:7" s="103" customFormat="1" ht="48" thickBot="1" x14ac:dyDescent="0.3">
      <c r="A42" s="101" t="s">
        <v>325</v>
      </c>
      <c r="B42" s="208">
        <f>SUM(B43:B45)</f>
        <v>35688.30196736459</v>
      </c>
      <c r="C42" s="89"/>
      <c r="D42" s="95"/>
      <c r="E42" s="102"/>
      <c r="F42" s="102"/>
      <c r="G42" s="102"/>
    </row>
    <row r="43" spans="1:7" ht="15.75" x14ac:dyDescent="0.25">
      <c r="A43" s="104" t="s">
        <v>262</v>
      </c>
      <c r="B43" s="23">
        <v>6059.8499999999995</v>
      </c>
      <c r="C43" s="98"/>
      <c r="D43" s="108"/>
      <c r="E43" s="77"/>
      <c r="F43" s="77"/>
      <c r="G43" s="77"/>
    </row>
    <row r="44" spans="1:7" ht="15.75" x14ac:dyDescent="0.25">
      <c r="A44" s="104" t="s">
        <v>263</v>
      </c>
      <c r="B44" s="23">
        <v>20316.825017572912</v>
      </c>
      <c r="C44" s="93"/>
      <c r="D44" s="108"/>
      <c r="E44" s="77"/>
      <c r="F44" s="77"/>
      <c r="G44" s="77"/>
    </row>
    <row r="45" spans="1:7" ht="16.5" thickBot="1" x14ac:dyDescent="0.3">
      <c r="A45" s="109" t="s">
        <v>264</v>
      </c>
      <c r="B45" s="23">
        <f>('[3]34тарифы'!D163*B15+232.88)*1.1194</f>
        <v>9311.6269497916765</v>
      </c>
      <c r="C45" s="93"/>
      <c r="D45" s="108"/>
      <c r="E45" s="77"/>
      <c r="F45" s="77"/>
      <c r="G45" s="77"/>
    </row>
    <row r="46" spans="1:7" s="79" customFormat="1" ht="16.5" thickBot="1" x14ac:dyDescent="0.3">
      <c r="A46" s="101" t="s">
        <v>265</v>
      </c>
      <c r="B46" s="208">
        <f>SUM(B47:B65)</f>
        <v>41438.959999999999</v>
      </c>
      <c r="C46" s="89"/>
      <c r="D46" s="95"/>
    </row>
    <row r="47" spans="1:7" ht="15.75" x14ac:dyDescent="0.25">
      <c r="A47" s="104" t="s">
        <v>326</v>
      </c>
      <c r="B47" s="283">
        <v>2685.96</v>
      </c>
      <c r="C47" s="90"/>
      <c r="D47" s="92"/>
      <c r="E47" s="77" t="s">
        <v>267</v>
      </c>
      <c r="F47" s="77"/>
      <c r="G47" s="77"/>
    </row>
    <row r="48" spans="1:7" ht="15.75" x14ac:dyDescent="0.25">
      <c r="A48" s="104" t="s">
        <v>317</v>
      </c>
      <c r="B48" s="283">
        <v>3261.48</v>
      </c>
      <c r="C48" s="95"/>
      <c r="D48" s="92"/>
      <c r="E48" s="77" t="s">
        <v>269</v>
      </c>
      <c r="F48" s="77"/>
      <c r="G48" s="77"/>
    </row>
    <row r="49" spans="1:5" ht="15.75" x14ac:dyDescent="0.25">
      <c r="A49" s="110" t="s">
        <v>542</v>
      </c>
      <c r="B49" s="147">
        <v>4200</v>
      </c>
      <c r="C49" s="95"/>
      <c r="D49" s="92"/>
      <c r="E49" s="77"/>
    </row>
    <row r="50" spans="1:5" ht="15.75" x14ac:dyDescent="0.25">
      <c r="A50" s="110" t="s">
        <v>282</v>
      </c>
      <c r="B50" s="147">
        <v>140.97999999999999</v>
      </c>
      <c r="C50" s="95"/>
      <c r="D50" s="92">
        <v>4190</v>
      </c>
      <c r="E50" s="77"/>
    </row>
    <row r="51" spans="1:5" ht="15.75" hidden="1" x14ac:dyDescent="0.25">
      <c r="A51" s="110" t="s">
        <v>272</v>
      </c>
      <c r="B51" s="147">
        <v>0</v>
      </c>
      <c r="C51" s="95"/>
      <c r="D51" s="92"/>
      <c r="E51" s="77"/>
    </row>
    <row r="52" spans="1:5" ht="15.75" hidden="1" x14ac:dyDescent="0.25">
      <c r="A52" s="110" t="s">
        <v>273</v>
      </c>
      <c r="B52" s="147">
        <f>B21*'[3]34тарифы'!D177</f>
        <v>0</v>
      </c>
      <c r="C52" s="95"/>
      <c r="D52" s="92">
        <v>105.14</v>
      </c>
      <c r="E52" s="77"/>
    </row>
    <row r="53" spans="1:5" ht="15.75" hidden="1" x14ac:dyDescent="0.25">
      <c r="A53" s="110" t="s">
        <v>274</v>
      </c>
      <c r="B53" s="147">
        <v>0</v>
      </c>
      <c r="C53" s="95">
        <v>0</v>
      </c>
      <c r="D53" s="92">
        <v>522.99</v>
      </c>
      <c r="E53" s="77"/>
    </row>
    <row r="54" spans="1:5" ht="15.75" x14ac:dyDescent="0.25">
      <c r="A54" s="143" t="s">
        <v>359</v>
      </c>
      <c r="B54" s="147">
        <v>8133.61</v>
      </c>
      <c r="C54" s="95">
        <v>0</v>
      </c>
      <c r="D54" s="111">
        <v>695.13</v>
      </c>
      <c r="E54" s="77"/>
    </row>
    <row r="55" spans="1:5" ht="15.75" hidden="1" x14ac:dyDescent="0.25">
      <c r="A55" s="110" t="s">
        <v>276</v>
      </c>
      <c r="B55" s="147">
        <v>0</v>
      </c>
      <c r="C55" s="95"/>
      <c r="D55" s="111"/>
      <c r="E55" s="77"/>
    </row>
    <row r="56" spans="1:5" ht="15.75" hidden="1" x14ac:dyDescent="0.25">
      <c r="A56" s="110" t="s">
        <v>277</v>
      </c>
      <c r="B56" s="147">
        <v>0</v>
      </c>
      <c r="C56" s="95">
        <v>0</v>
      </c>
      <c r="D56" s="92">
        <f>10695.76/1.18</f>
        <v>9064.203389830509</v>
      </c>
      <c r="E56" s="77"/>
    </row>
    <row r="57" spans="1:5" ht="15.75" hidden="1" x14ac:dyDescent="0.25">
      <c r="A57" s="110" t="s">
        <v>314</v>
      </c>
      <c r="B57" s="147">
        <v>0</v>
      </c>
      <c r="C57" s="95">
        <v>0</v>
      </c>
      <c r="D57" s="92">
        <f>2300/1.18</f>
        <v>1949.1525423728815</v>
      </c>
      <c r="E57" s="77"/>
    </row>
    <row r="58" spans="1:5" ht="15.75" hidden="1" x14ac:dyDescent="0.25">
      <c r="A58" s="110" t="s">
        <v>348</v>
      </c>
      <c r="B58" s="147"/>
      <c r="C58" s="93">
        <v>0</v>
      </c>
      <c r="D58" s="92">
        <v>0</v>
      </c>
      <c r="E58" s="77"/>
    </row>
    <row r="59" spans="1:5" ht="16.5" hidden="1" thickBot="1" x14ac:dyDescent="0.3">
      <c r="A59" s="110" t="s">
        <v>279</v>
      </c>
      <c r="B59" s="23">
        <f>B13*'[3]34тарифы'!D184</f>
        <v>0</v>
      </c>
      <c r="C59" s="89"/>
      <c r="D59" s="95"/>
      <c r="E59" s="77"/>
    </row>
    <row r="60" spans="1:5" ht="15.75" hidden="1" x14ac:dyDescent="0.25">
      <c r="A60" s="104" t="s">
        <v>280</v>
      </c>
      <c r="B60" s="147">
        <v>0</v>
      </c>
      <c r="C60" s="90"/>
      <c r="D60" s="92"/>
      <c r="E60" s="77"/>
    </row>
    <row r="61" spans="1:5" ht="15.75" x14ac:dyDescent="0.25">
      <c r="A61" s="104" t="s">
        <v>540</v>
      </c>
      <c r="B61" s="283">
        <v>10532.17</v>
      </c>
      <c r="C61" s="95"/>
      <c r="D61" s="92">
        <v>0</v>
      </c>
      <c r="E61" s="77"/>
    </row>
    <row r="62" spans="1:5" ht="15.75" hidden="1" x14ac:dyDescent="0.25">
      <c r="A62" s="104" t="s">
        <v>347</v>
      </c>
      <c r="B62" s="23"/>
      <c r="C62" s="95"/>
      <c r="D62" s="92">
        <v>0</v>
      </c>
      <c r="E62" s="77"/>
    </row>
    <row r="63" spans="1:5" ht="16.5" thickBot="1" x14ac:dyDescent="0.3">
      <c r="A63" s="104" t="s">
        <v>341</v>
      </c>
      <c r="B63" s="283">
        <v>12484.76</v>
      </c>
      <c r="C63" s="113">
        <v>1</v>
      </c>
      <c r="D63" s="92">
        <v>0</v>
      </c>
      <c r="E63" s="77"/>
    </row>
    <row r="64" spans="1:5" ht="16.5" hidden="1" thickBot="1" x14ac:dyDescent="0.3">
      <c r="A64" s="104" t="s">
        <v>284</v>
      </c>
      <c r="B64" s="229">
        <v>0</v>
      </c>
      <c r="C64" s="114">
        <v>34</v>
      </c>
      <c r="D64" s="95">
        <v>2</v>
      </c>
      <c r="E64" s="77">
        <v>1</v>
      </c>
    </row>
    <row r="65" spans="1:4" s="79" customFormat="1" ht="16.5" hidden="1" thickBot="1" x14ac:dyDescent="0.3">
      <c r="A65" s="104" t="s">
        <v>285</v>
      </c>
      <c r="B65" s="293">
        <v>0</v>
      </c>
      <c r="C65" s="115">
        <v>36</v>
      </c>
      <c r="D65" s="108">
        <f>650/1.18</f>
        <v>550.84745762711873</v>
      </c>
    </row>
    <row r="66" spans="1:4" s="79" customFormat="1" ht="16.5" thickBot="1" x14ac:dyDescent="0.3">
      <c r="A66" s="116" t="s">
        <v>286</v>
      </c>
      <c r="B66" s="208">
        <f>SUM(B67:B74)</f>
        <v>123635.10210763197</v>
      </c>
      <c r="C66" s="89"/>
      <c r="D66" s="93"/>
    </row>
    <row r="67" spans="1:4" ht="16.5" hidden="1" thickBot="1" x14ac:dyDescent="0.3">
      <c r="A67" s="104" t="s">
        <v>287</v>
      </c>
      <c r="B67" s="147">
        <v>0</v>
      </c>
      <c r="C67" s="98"/>
      <c r="D67" s="108"/>
    </row>
    <row r="68" spans="1:4" ht="16.5" thickBot="1" x14ac:dyDescent="0.3">
      <c r="A68" s="104" t="s">
        <v>288</v>
      </c>
      <c r="B68" s="23">
        <f>52555*1.04*1.1194</f>
        <v>61183.269680000005</v>
      </c>
      <c r="C68" s="89"/>
      <c r="D68" s="93"/>
    </row>
    <row r="69" spans="1:4" ht="15.75" hidden="1" x14ac:dyDescent="0.25">
      <c r="A69" s="104" t="s">
        <v>289</v>
      </c>
      <c r="B69" s="147">
        <v>0</v>
      </c>
      <c r="C69" s="98"/>
      <c r="D69" s="108"/>
    </row>
    <row r="70" spans="1:4" ht="16.5" thickBot="1" x14ac:dyDescent="0.3">
      <c r="A70" s="109" t="s">
        <v>290</v>
      </c>
      <c r="B70" s="23">
        <f>'[3]34тарифы'!D164*B13*1.1194</f>
        <v>1762.058396322768</v>
      </c>
      <c r="C70" s="93"/>
      <c r="D70" s="108"/>
    </row>
    <row r="71" spans="1:4" ht="15.75" x14ac:dyDescent="0.25">
      <c r="A71" s="109" t="s">
        <v>291</v>
      </c>
      <c r="B71" s="23">
        <f>VLOOKUP(A71,[2]Лист1!S$1:T$65536,2,FALSE)*B15</f>
        <v>7048.3549672664303</v>
      </c>
      <c r="C71" s="117"/>
      <c r="D71" s="93"/>
    </row>
    <row r="72" spans="1:4" ht="15.75" x14ac:dyDescent="0.25">
      <c r="A72" s="109" t="s">
        <v>292</v>
      </c>
      <c r="B72" s="23">
        <f>VLOOKUP(A72,[2]Лист1!S$1:T$65536,2,FALSE)*B15</f>
        <v>24604.541272042767</v>
      </c>
      <c r="C72" s="108"/>
      <c r="D72" s="93"/>
    </row>
    <row r="73" spans="1:4" ht="15.75" x14ac:dyDescent="0.25">
      <c r="A73" s="41" t="s">
        <v>293</v>
      </c>
      <c r="B73" s="23">
        <f>2641*1.04*1.1194</f>
        <v>3074.5888159999995</v>
      </c>
      <c r="C73" s="108"/>
      <c r="D73" s="93"/>
    </row>
    <row r="74" spans="1:4" ht="15.75" x14ac:dyDescent="0.25">
      <c r="A74" s="109" t="s">
        <v>294</v>
      </c>
      <c r="B74" s="23">
        <f>22301*1.04*1.1194</f>
        <v>25962.288976</v>
      </c>
      <c r="C74" s="108"/>
      <c r="D74" s="93"/>
    </row>
    <row r="75" spans="1:4" ht="47.25" x14ac:dyDescent="0.25">
      <c r="A75" s="118" t="s">
        <v>328</v>
      </c>
      <c r="B75" s="208">
        <f>SUM(B76:B76)</f>
        <v>49717.300255999995</v>
      </c>
      <c r="C75" s="108"/>
      <c r="D75" s="93"/>
    </row>
    <row r="76" spans="1:4" ht="15.75" x14ac:dyDescent="0.25">
      <c r="A76" s="109" t="s">
        <v>296</v>
      </c>
      <c r="B76" s="23">
        <f>42706*1.04*1.1194</f>
        <v>49717.300255999995</v>
      </c>
      <c r="C76" s="108"/>
      <c r="D76" s="93"/>
    </row>
    <row r="77" spans="1:4" s="79" customFormat="1" ht="15.75" x14ac:dyDescent="0.25">
      <c r="A77" s="116" t="s">
        <v>297</v>
      </c>
      <c r="B77" s="208">
        <f>SUM(B78:B81)</f>
        <v>50705.02903337821</v>
      </c>
      <c r="C77" s="108"/>
      <c r="D77" s="93"/>
    </row>
    <row r="78" spans="1:4" ht="32.25" thickBot="1" x14ac:dyDescent="0.3">
      <c r="A78" s="119" t="s">
        <v>329</v>
      </c>
      <c r="B78" s="23">
        <f>'[3]34тарифы'!D170*B15*1.1194</f>
        <v>36760.38549372858</v>
      </c>
      <c r="C78" s="96"/>
      <c r="D78" s="93"/>
    </row>
    <row r="79" spans="1:4" ht="16.5" thickBot="1" x14ac:dyDescent="0.3">
      <c r="A79" s="51" t="s">
        <v>299</v>
      </c>
      <c r="B79" s="23">
        <f>(B26/1.2)*30%</f>
        <v>4257.7849999999999</v>
      </c>
      <c r="C79" s="98"/>
      <c r="D79" s="108"/>
    </row>
    <row r="80" spans="1:4" ht="15.75" x14ac:dyDescent="0.25">
      <c r="A80" s="120" t="s">
        <v>330</v>
      </c>
      <c r="B80" s="23">
        <f>3019.25+3530.7</f>
        <v>6549.95</v>
      </c>
      <c r="C80" s="117"/>
      <c r="D80" s="93"/>
    </row>
    <row r="81" spans="1:4" ht="15.75" x14ac:dyDescent="0.25">
      <c r="A81" s="120" t="s">
        <v>331</v>
      </c>
      <c r="B81" s="23">
        <f>'[3]34тарифы'!D173*B13*1.1194</f>
        <v>3136.9085396496321</v>
      </c>
      <c r="C81" s="108"/>
      <c r="D81" s="93"/>
    </row>
    <row r="82" spans="1:4" ht="15.75" x14ac:dyDescent="0.25">
      <c r="A82" s="121" t="s">
        <v>302</v>
      </c>
      <c r="B82" s="28">
        <f>B32+B42+B46+B66+B75+B77</f>
        <v>318238.1075908019</v>
      </c>
      <c r="C82" s="108"/>
      <c r="D82" s="93"/>
    </row>
    <row r="83" spans="1:4" ht="15.75" x14ac:dyDescent="0.25">
      <c r="A83" s="122" t="s">
        <v>303</v>
      </c>
      <c r="B83" s="23">
        <f>B82*0.03</f>
        <v>9547.1432277240565</v>
      </c>
      <c r="C83" s="108"/>
      <c r="D83" s="93"/>
    </row>
    <row r="84" spans="1:4" s="103" customFormat="1" ht="15.75" x14ac:dyDescent="0.25">
      <c r="A84" s="123" t="s">
        <v>304</v>
      </c>
      <c r="B84" s="208">
        <f>B82+B83</f>
        <v>327785.25081852596</v>
      </c>
      <c r="C84" s="108"/>
      <c r="D84" s="93"/>
    </row>
    <row r="85" spans="1:4" ht="16.5" thickBot="1" x14ac:dyDescent="0.3">
      <c r="A85" s="124" t="s">
        <v>305</v>
      </c>
      <c r="B85" s="240">
        <f>B84*0.2</f>
        <v>65557.050163705193</v>
      </c>
      <c r="C85" s="108"/>
      <c r="D85" s="93"/>
    </row>
    <row r="86" spans="1:4" s="79" customFormat="1" ht="16.5" thickBot="1" x14ac:dyDescent="0.3">
      <c r="A86" s="125" t="s">
        <v>306</v>
      </c>
      <c r="B86" s="66">
        <f>B84+B85</f>
        <v>393342.30098223116</v>
      </c>
      <c r="C86" s="89"/>
      <c r="D86" s="126"/>
    </row>
    <row r="87" spans="1:4" s="79" customFormat="1" ht="16.5" thickBot="1" x14ac:dyDescent="0.3">
      <c r="A87" s="127" t="s">
        <v>307</v>
      </c>
      <c r="B87" s="296">
        <f>B10+B24+B26+B28+B29-B86</f>
        <v>-1189956.1109822313</v>
      </c>
      <c r="C87" s="128"/>
      <c r="D87" s="129"/>
    </row>
    <row r="88" spans="1:4" s="79" customFormat="1" ht="16.5" thickBot="1" x14ac:dyDescent="0.3">
      <c r="A88" s="130" t="s">
        <v>308</v>
      </c>
      <c r="B88" s="66">
        <f>B10+B25+B27+B28+B29-B86</f>
        <v>-1185297.4309822312</v>
      </c>
      <c r="C88" s="131"/>
      <c r="D88" s="129"/>
    </row>
    <row r="89" spans="1:4" s="79" customFormat="1" ht="16.5" hidden="1" thickBot="1" x14ac:dyDescent="0.3">
      <c r="A89" s="132" t="s">
        <v>309</v>
      </c>
      <c r="B89" s="66">
        <f>B11+B24-B25</f>
        <v>-9217.710000000021</v>
      </c>
      <c r="C89" s="129"/>
      <c r="D89" s="129"/>
    </row>
    <row r="90" spans="1:4" s="79" customFormat="1" ht="15.75" x14ac:dyDescent="0.25">
      <c r="A90" s="133"/>
      <c r="B90" s="242"/>
      <c r="C90" s="129"/>
      <c r="D90" s="129"/>
    </row>
    <row r="91" spans="1:4" ht="15.75" x14ac:dyDescent="0.25">
      <c r="A91" s="134"/>
      <c r="B91" s="3"/>
      <c r="C91" s="77"/>
      <c r="D91" s="77"/>
    </row>
    <row r="92" spans="1:4" ht="15.75" x14ac:dyDescent="0.25">
      <c r="A92" s="323" t="s">
        <v>332</v>
      </c>
      <c r="B92" s="309"/>
      <c r="C92" s="77"/>
      <c r="D92" s="77"/>
    </row>
    <row r="93" spans="1:4" ht="15.75" x14ac:dyDescent="0.25">
      <c r="A93" s="134"/>
      <c r="B93" s="3"/>
      <c r="C93" s="77"/>
      <c r="D93" s="77"/>
    </row>
    <row r="94" spans="1:4" ht="15.75" hidden="1" x14ac:dyDescent="0.25">
      <c r="A94" s="324" t="s">
        <v>333</v>
      </c>
      <c r="B94" s="324"/>
      <c r="C94" s="135"/>
      <c r="D94" s="77"/>
    </row>
    <row r="95" spans="1:4" ht="15.75" x14ac:dyDescent="0.25">
      <c r="A95" s="77"/>
      <c r="B95" s="3"/>
      <c r="C95" s="77"/>
      <c r="D95" s="77"/>
    </row>
  </sheetData>
  <autoFilter ref="A31:G89" xr:uid="{00000000-0009-0000-0000-000031000000}">
    <filterColumn colId="1">
      <filters>
        <filter val="-1 005 620,79"/>
        <filter val="-1 010 279,47"/>
        <filter val="1 762,06"/>
        <filter val="11 509,89"/>
        <filter val="12 279,69"/>
        <filter val="12 764,81"/>
        <filter val="123 635,10"/>
        <filter val="17 053,41"/>
        <filter val="2 685,96"/>
        <filter val="20 316,83"/>
        <filter val="23 290,38"/>
        <filter val="24 604,54"/>
        <filter val="25 962,29"/>
        <filter val="261,10"/>
        <filter val="3 074,59"/>
        <filter val="3 136,91"/>
        <filter val="3 261,48"/>
        <filter val="3 421,76"/>
        <filter val="332 503,97"/>
        <filter val="342 479,09"/>
        <filter val="35 688,30"/>
        <filter val="36 760,39"/>
        <filter val="4 257,79"/>
        <filter val="4 288,60"/>
        <filter val="410 974,90"/>
        <filter val="49 699,59"/>
        <filter val="49 717,30"/>
        <filter val="5 544,51"/>
        <filter val="56 710,26"/>
        <filter val="6 059,85"/>
        <filter val="61 183,27"/>
        <filter val="68 495,82"/>
        <filter val="7 048,35"/>
        <filter val="-9 217,71"/>
        <filter val="9 311,63"/>
        <filter val="9 975,12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78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filterMode="1">
    <pageSetUpPr fitToPage="1"/>
  </sheetPr>
  <dimension ref="A1:G95"/>
  <sheetViews>
    <sheetView view="pageBreakPreview" topLeftCell="A36" zoomScale="80" zoomScaleNormal="100" zoomScaleSheetLayoutView="80" workbookViewId="0">
      <selection activeCell="B81" sqref="B81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25" t="s">
        <v>224</v>
      </c>
      <c r="B1" s="325"/>
      <c r="C1" s="77"/>
      <c r="D1" s="77"/>
    </row>
    <row r="2" spans="1:4" ht="16.5" x14ac:dyDescent="0.25">
      <c r="A2" s="326" t="s">
        <v>225</v>
      </c>
      <c r="B2" s="326"/>
      <c r="C2" s="77"/>
      <c r="D2" s="77"/>
    </row>
    <row r="3" spans="1:4" ht="16.5" x14ac:dyDescent="0.25">
      <c r="A3" s="326" t="s">
        <v>226</v>
      </c>
      <c r="B3" s="326"/>
      <c r="C3" s="77"/>
      <c r="D3" s="77"/>
    </row>
    <row r="4" spans="1:4" ht="15.75" x14ac:dyDescent="0.25">
      <c r="A4" s="78" t="s">
        <v>516</v>
      </c>
      <c r="B4" s="78"/>
      <c r="C4" s="77"/>
      <c r="D4" s="77"/>
    </row>
    <row r="5" spans="1:4" ht="15.75" x14ac:dyDescent="0.25">
      <c r="A5" s="78" t="s">
        <v>114</v>
      </c>
      <c r="B5" s="78"/>
      <c r="C5" s="77"/>
      <c r="D5" s="77"/>
    </row>
    <row r="6" spans="1:4" ht="5.25" customHeight="1" x14ac:dyDescent="0.25">
      <c r="A6" s="78"/>
      <c r="B6" s="8"/>
      <c r="C6" s="79"/>
      <c r="D6" s="77"/>
    </row>
    <row r="7" spans="1:4" ht="16.5" thickBot="1" x14ac:dyDescent="0.3">
      <c r="A7" s="80"/>
      <c r="B7" s="8"/>
      <c r="C7" s="79"/>
      <c r="D7" s="77"/>
    </row>
    <row r="8" spans="1:4" ht="15.75" customHeight="1" x14ac:dyDescent="0.2">
      <c r="A8" s="327" t="s">
        <v>227</v>
      </c>
      <c r="B8" s="329" t="s">
        <v>228</v>
      </c>
      <c r="C8" s="331" t="s">
        <v>229</v>
      </c>
      <c r="D8" s="321" t="s">
        <v>230</v>
      </c>
    </row>
    <row r="9" spans="1:4" ht="28.5" customHeight="1" thickBot="1" x14ac:dyDescent="0.25">
      <c r="A9" s="328"/>
      <c r="B9" s="330"/>
      <c r="C9" s="332"/>
      <c r="D9" s="322"/>
    </row>
    <row r="10" spans="1:4" ht="16.5" thickBot="1" x14ac:dyDescent="0.25">
      <c r="A10" s="81" t="s">
        <v>231</v>
      </c>
      <c r="B10" s="302">
        <f>VLOOKUP(A5,мкд!S:T,2,FALSE)</f>
        <v>-1045811.29</v>
      </c>
      <c r="C10" s="83"/>
      <c r="D10" s="84"/>
    </row>
    <row r="11" spans="1:4" ht="16.5" hidden="1" thickBot="1" x14ac:dyDescent="0.25">
      <c r="A11" s="85" t="s">
        <v>232</v>
      </c>
      <c r="B11" s="210"/>
      <c r="C11" s="84"/>
      <c r="D11" s="86"/>
    </row>
    <row r="12" spans="1:4" ht="16.5" thickBot="1" x14ac:dyDescent="0.3">
      <c r="A12" s="87" t="s">
        <v>233</v>
      </c>
      <c r="B12" s="217"/>
      <c r="C12" s="89" t="s">
        <v>234</v>
      </c>
      <c r="D12" s="90" t="s">
        <v>234</v>
      </c>
    </row>
    <row r="13" spans="1:4" ht="16.5" hidden="1" thickBot="1" x14ac:dyDescent="0.3">
      <c r="A13" s="91" t="s">
        <v>235</v>
      </c>
      <c r="B13" s="23">
        <v>1540.2</v>
      </c>
      <c r="C13" s="90" t="s">
        <v>234</v>
      </c>
      <c r="D13" s="92" t="s">
        <v>234</v>
      </c>
    </row>
    <row r="14" spans="1:4" ht="16.5" hidden="1" thickBot="1" x14ac:dyDescent="0.3">
      <c r="A14" s="91" t="s">
        <v>236</v>
      </c>
      <c r="B14" s="23">
        <v>0</v>
      </c>
      <c r="C14" s="93"/>
      <c r="D14" s="92"/>
    </row>
    <row r="15" spans="1:4" ht="16.5" hidden="1" thickBot="1" x14ac:dyDescent="0.3">
      <c r="A15" s="91" t="s">
        <v>237</v>
      </c>
      <c r="B15" s="23">
        <f>B13+B14</f>
        <v>1540.2</v>
      </c>
      <c r="C15" s="94"/>
      <c r="D15" s="95"/>
    </row>
    <row r="16" spans="1:4" ht="16.5" hidden="1" thickBot="1" x14ac:dyDescent="0.3">
      <c r="A16" s="91" t="s">
        <v>238</v>
      </c>
      <c r="B16" s="23">
        <f>817.97+2812.5/3</f>
        <v>1755.47</v>
      </c>
      <c r="C16" s="96" t="s">
        <v>234</v>
      </c>
      <c r="D16" s="95" t="s">
        <v>234</v>
      </c>
    </row>
    <row r="17" spans="1:7" ht="16.5" hidden="1" thickBot="1" x14ac:dyDescent="0.3">
      <c r="A17" s="91" t="s">
        <v>239</v>
      </c>
      <c r="B17" s="23">
        <v>0</v>
      </c>
      <c r="C17" s="90" t="s">
        <v>234</v>
      </c>
      <c r="D17" s="92" t="s">
        <v>234</v>
      </c>
      <c r="E17" s="77"/>
      <c r="F17" s="77"/>
      <c r="G17" s="77"/>
    </row>
    <row r="18" spans="1:7" ht="16.5" hidden="1" thickBot="1" x14ac:dyDescent="0.3">
      <c r="A18" s="91" t="s">
        <v>240</v>
      </c>
      <c r="B18" s="23">
        <v>644.29999999999995</v>
      </c>
      <c r="C18" s="95" t="s">
        <v>234</v>
      </c>
      <c r="D18" s="92" t="s">
        <v>234</v>
      </c>
      <c r="E18" s="77"/>
      <c r="F18" s="77"/>
      <c r="G18" s="77"/>
    </row>
    <row r="19" spans="1:7" ht="16.5" hidden="1" thickBot="1" x14ac:dyDescent="0.3">
      <c r="A19" s="91" t="s">
        <v>241</v>
      </c>
      <c r="B19" s="23">
        <v>0</v>
      </c>
      <c r="C19" s="95" t="s">
        <v>234</v>
      </c>
      <c r="D19" s="92" t="s">
        <v>234</v>
      </c>
      <c r="E19" s="77"/>
      <c r="F19" s="77"/>
      <c r="G19" s="77"/>
    </row>
    <row r="20" spans="1:7" ht="16.5" hidden="1" thickBot="1" x14ac:dyDescent="0.3">
      <c r="A20" s="91" t="s">
        <v>242</v>
      </c>
      <c r="B20" s="23">
        <v>828.1</v>
      </c>
      <c r="C20" s="95"/>
      <c r="D20" s="92"/>
      <c r="E20" s="77"/>
      <c r="F20" s="77"/>
      <c r="G20" s="77"/>
    </row>
    <row r="21" spans="1:7" ht="16.5" hidden="1" thickBot="1" x14ac:dyDescent="0.3">
      <c r="A21" s="91" t="s">
        <v>243</v>
      </c>
      <c r="B21" s="23">
        <v>0</v>
      </c>
      <c r="C21" s="95" t="s">
        <v>234</v>
      </c>
      <c r="D21" s="92" t="s">
        <v>234</v>
      </c>
      <c r="E21" s="77"/>
      <c r="F21" s="77"/>
      <c r="G21" s="77"/>
    </row>
    <row r="22" spans="1:7" ht="16.5" hidden="1" thickBot="1" x14ac:dyDescent="0.3">
      <c r="A22" s="91" t="s">
        <v>244</v>
      </c>
      <c r="B22" s="23">
        <v>85</v>
      </c>
      <c r="C22" s="93"/>
      <c r="D22" s="92"/>
      <c r="E22" s="77"/>
      <c r="F22" s="77"/>
      <c r="G22" s="77"/>
    </row>
    <row r="23" spans="1:7" ht="15.75" x14ac:dyDescent="0.25">
      <c r="A23" s="91"/>
      <c r="B23" s="23"/>
      <c r="C23" s="94"/>
      <c r="D23" s="95"/>
      <c r="E23" s="77">
        <v>10</v>
      </c>
      <c r="F23" s="77">
        <v>2</v>
      </c>
      <c r="G23" s="77"/>
    </row>
    <row r="24" spans="1:7" ht="15.75" x14ac:dyDescent="0.25">
      <c r="A24" s="97" t="s">
        <v>319</v>
      </c>
      <c r="B24" s="28">
        <f>VLOOKUP(A5,[2]Лист1!M$1:N$65536,2,FALSE)</f>
        <v>259140.96</v>
      </c>
      <c r="C24" s="92"/>
      <c r="D24" s="95"/>
      <c r="E24" s="26">
        <v>13.82</v>
      </c>
      <c r="F24" s="256">
        <v>15.470108</v>
      </c>
      <c r="G24" s="77"/>
    </row>
    <row r="25" spans="1:7" ht="16.5" thickBot="1" x14ac:dyDescent="0.3">
      <c r="A25" s="97" t="s">
        <v>320</v>
      </c>
      <c r="B25" s="28">
        <f>VLOOKUP(A5,[2]Лист1!M$1:O$65536,3,FALSE)</f>
        <v>285436.53000000003</v>
      </c>
      <c r="C25" s="96"/>
      <c r="D25" s="95"/>
      <c r="E25" s="77"/>
      <c r="F25" s="77"/>
      <c r="G25" s="77"/>
    </row>
    <row r="26" spans="1:7" ht="15.75" x14ac:dyDescent="0.25">
      <c r="A26" s="97" t="s">
        <v>321</v>
      </c>
      <c r="B26" s="28"/>
      <c r="C26" s="90"/>
      <c r="D26" s="92"/>
      <c r="E26" s="77"/>
      <c r="F26" s="77"/>
      <c r="G26" s="77"/>
    </row>
    <row r="27" spans="1:7" ht="16.5" thickBot="1" x14ac:dyDescent="0.3">
      <c r="A27" s="97" t="s">
        <v>248</v>
      </c>
      <c r="B27" s="28">
        <f>B26</f>
        <v>0</v>
      </c>
      <c r="C27" s="93"/>
      <c r="D27" s="92"/>
      <c r="E27" s="77"/>
      <c r="F27" s="77"/>
      <c r="G27" s="77"/>
    </row>
    <row r="28" spans="1:7" ht="16.5" thickBot="1" x14ac:dyDescent="0.3">
      <c r="A28" s="97" t="s">
        <v>249</v>
      </c>
      <c r="B28" s="28">
        <v>5781.36</v>
      </c>
      <c r="C28" s="89"/>
      <c r="D28" s="95"/>
      <c r="E28" s="77"/>
      <c r="F28" s="77"/>
      <c r="G28" s="77"/>
    </row>
    <row r="29" spans="1:7" ht="16.5" hidden="1" thickBot="1" x14ac:dyDescent="0.3">
      <c r="A29" s="97" t="s">
        <v>250</v>
      </c>
      <c r="B29" s="28"/>
      <c r="C29" s="98"/>
      <c r="D29" s="92"/>
      <c r="E29" s="77"/>
      <c r="F29" s="77"/>
      <c r="G29" s="77"/>
    </row>
    <row r="30" spans="1:7" ht="15.75" x14ac:dyDescent="0.25">
      <c r="A30" s="99"/>
      <c r="B30" s="23"/>
      <c r="C30" s="94"/>
      <c r="D30" s="95"/>
      <c r="E30" s="77"/>
      <c r="F30" s="77"/>
      <c r="G30" s="77"/>
    </row>
    <row r="31" spans="1:7" ht="15.75" x14ac:dyDescent="0.25">
      <c r="A31" s="100" t="s">
        <v>251</v>
      </c>
      <c r="B31" s="23"/>
      <c r="C31" s="92"/>
      <c r="D31" s="95"/>
      <c r="E31" s="77"/>
      <c r="F31" s="77"/>
      <c r="G31" s="77"/>
    </row>
    <row r="32" spans="1:7" s="103" customFormat="1" ht="31.5" x14ac:dyDescent="0.25">
      <c r="A32" s="101" t="s">
        <v>252</v>
      </c>
      <c r="B32" s="208">
        <f>SUM(B33:B41)</f>
        <v>26788.339870439595</v>
      </c>
      <c r="C32" s="92"/>
      <c r="D32" s="95"/>
      <c r="E32" s="102">
        <f>(B86-B26-B24)/1.2/1.03</f>
        <v>144109.22043319797</v>
      </c>
      <c r="F32" s="102" t="e">
        <f>(#REF!-#REF!-#REF!)/1.2/1.03</f>
        <v>#REF!</v>
      </c>
      <c r="G32" s="102" t="e">
        <f>(#REF!-#REF!-#REF!)/1.2/1.03</f>
        <v>#REF!</v>
      </c>
    </row>
    <row r="33" spans="1:7" ht="16.5" thickBot="1" x14ac:dyDescent="0.3">
      <c r="A33" s="104" t="s">
        <v>253</v>
      </c>
      <c r="B33" s="23">
        <f>18494.64*1.1194</f>
        <v>20702.900016</v>
      </c>
      <c r="C33" s="96"/>
      <c r="D33" s="95">
        <v>13679.82</v>
      </c>
      <c r="E33" s="77"/>
      <c r="F33" s="77"/>
      <c r="G33" s="77"/>
    </row>
    <row r="34" spans="1:7" ht="15.75" hidden="1" x14ac:dyDescent="0.25">
      <c r="A34" s="104" t="s">
        <v>322</v>
      </c>
      <c r="B34" s="23">
        <v>0</v>
      </c>
      <c r="C34" s="90"/>
      <c r="D34" s="92">
        <v>0</v>
      </c>
      <c r="E34" s="77"/>
      <c r="F34" s="77"/>
      <c r="G34" s="77"/>
    </row>
    <row r="35" spans="1:7" ht="15.75" hidden="1" x14ac:dyDescent="0.25">
      <c r="A35" s="104" t="s">
        <v>256</v>
      </c>
      <c r="B35" s="23">
        <v>0</v>
      </c>
      <c r="C35" s="95"/>
      <c r="D35" s="92">
        <v>0</v>
      </c>
      <c r="E35" s="77"/>
      <c r="F35" s="77"/>
      <c r="G35" s="77"/>
    </row>
    <row r="36" spans="1:7" ht="16.5" thickBot="1" x14ac:dyDescent="0.3">
      <c r="A36" s="104" t="s">
        <v>255</v>
      </c>
      <c r="B36" s="23">
        <v>6085.4398544395945</v>
      </c>
      <c r="C36" s="95" t="s">
        <v>234</v>
      </c>
      <c r="D36" s="92">
        <v>0</v>
      </c>
      <c r="E36" s="77"/>
      <c r="F36" s="77"/>
      <c r="G36" s="77"/>
    </row>
    <row r="37" spans="1:7" ht="16.5" hidden="1" thickBot="1" x14ac:dyDescent="0.3">
      <c r="A37" s="104" t="s">
        <v>257</v>
      </c>
      <c r="B37" s="23">
        <v>0</v>
      </c>
      <c r="C37" s="95"/>
      <c r="D37" s="92">
        <v>0</v>
      </c>
      <c r="E37" s="77"/>
      <c r="F37" s="77"/>
      <c r="G37" s="77"/>
    </row>
    <row r="38" spans="1:7" ht="16.5" hidden="1" thickBot="1" x14ac:dyDescent="0.3">
      <c r="A38" s="104" t="s">
        <v>258</v>
      </c>
      <c r="B38" s="23">
        <v>0</v>
      </c>
      <c r="C38" s="95"/>
      <c r="D38" s="92">
        <v>0</v>
      </c>
      <c r="E38" s="77"/>
      <c r="F38" s="77"/>
      <c r="G38" s="77"/>
    </row>
    <row r="39" spans="1:7" ht="16.5" hidden="1" thickBot="1" x14ac:dyDescent="0.3">
      <c r="A39" s="104" t="s">
        <v>256</v>
      </c>
      <c r="B39" s="23"/>
      <c r="C39" s="95"/>
      <c r="D39" s="92">
        <v>0</v>
      </c>
      <c r="E39" s="77"/>
      <c r="F39" s="77"/>
      <c r="G39" s="77"/>
    </row>
    <row r="40" spans="1:7" ht="16.5" hidden="1" thickBot="1" x14ac:dyDescent="0.3">
      <c r="A40" s="104" t="s">
        <v>257</v>
      </c>
      <c r="B40" s="23"/>
      <c r="C40" s="95"/>
      <c r="D40" s="92"/>
      <c r="E40" s="77"/>
      <c r="F40" s="77"/>
      <c r="G40" s="77"/>
    </row>
    <row r="41" spans="1:7" ht="16.5" hidden="1" thickBot="1" x14ac:dyDescent="0.3">
      <c r="A41" s="104" t="s">
        <v>255</v>
      </c>
      <c r="B41" s="23"/>
      <c r="C41" s="93"/>
      <c r="D41" s="92"/>
      <c r="E41" s="77"/>
      <c r="F41" s="77"/>
      <c r="G41" s="77"/>
    </row>
    <row r="42" spans="1:7" s="103" customFormat="1" ht="48" thickBot="1" x14ac:dyDescent="0.3">
      <c r="A42" s="101" t="s">
        <v>325</v>
      </c>
      <c r="B42" s="208">
        <f>SUM(B43:B45)</f>
        <v>39739.677068336496</v>
      </c>
      <c r="C42" s="89"/>
      <c r="D42" s="95"/>
      <c r="E42" s="102"/>
      <c r="F42" s="102"/>
      <c r="G42" s="102"/>
    </row>
    <row r="43" spans="1:7" ht="15.75" x14ac:dyDescent="0.25">
      <c r="A43" s="104" t="s">
        <v>262</v>
      </c>
      <c r="B43" s="23">
        <v>3110.17</v>
      </c>
      <c r="C43" s="98"/>
      <c r="D43" s="108"/>
      <c r="E43" s="77"/>
      <c r="F43" s="77"/>
      <c r="G43" s="77"/>
    </row>
    <row r="44" spans="1:7" ht="15.75" x14ac:dyDescent="0.25">
      <c r="A44" s="104" t="s">
        <v>263</v>
      </c>
      <c r="B44" s="23">
        <v>27306.710145560417</v>
      </c>
      <c r="C44" s="93"/>
      <c r="D44" s="108"/>
      <c r="E44" s="77"/>
      <c r="F44" s="77"/>
      <c r="G44" s="77"/>
    </row>
    <row r="45" spans="1:7" ht="16.5" thickBot="1" x14ac:dyDescent="0.3">
      <c r="A45" s="109" t="s">
        <v>264</v>
      </c>
      <c r="B45" s="23">
        <f>('[3]34тарифы'!D163*B15+156.91)*1.1194</f>
        <v>9322.7969227760786</v>
      </c>
      <c r="C45" s="93"/>
      <c r="D45" s="108"/>
      <c r="E45" s="77"/>
      <c r="F45" s="77"/>
      <c r="G45" s="77"/>
    </row>
    <row r="46" spans="1:7" s="79" customFormat="1" ht="16.5" thickBot="1" x14ac:dyDescent="0.3">
      <c r="A46" s="101" t="s">
        <v>265</v>
      </c>
      <c r="B46" s="208">
        <f>SUM(B47:B65)</f>
        <v>41666.5</v>
      </c>
      <c r="C46" s="89"/>
      <c r="D46" s="95"/>
    </row>
    <row r="47" spans="1:7" ht="15.75" x14ac:dyDescent="0.25">
      <c r="A47" s="104" t="s">
        <v>326</v>
      </c>
      <c r="B47" s="283">
        <v>2706.12</v>
      </c>
      <c r="C47" s="90"/>
      <c r="D47" s="92"/>
      <c r="E47" s="77" t="s">
        <v>267</v>
      </c>
      <c r="F47" s="77"/>
      <c r="G47" s="77"/>
    </row>
    <row r="48" spans="1:7" ht="15.75" x14ac:dyDescent="0.25">
      <c r="A48" s="104" t="s">
        <v>317</v>
      </c>
      <c r="B48" s="283">
        <v>3285.96</v>
      </c>
      <c r="C48" s="95"/>
      <c r="D48" s="92"/>
      <c r="E48" s="77" t="s">
        <v>269</v>
      </c>
      <c r="F48" s="77"/>
      <c r="G48" s="77"/>
    </row>
    <row r="49" spans="1:5" ht="15.75" x14ac:dyDescent="0.25">
      <c r="A49" s="110" t="s">
        <v>282</v>
      </c>
      <c r="B49" s="23">
        <v>92.79</v>
      </c>
      <c r="C49" s="95"/>
      <c r="D49" s="92"/>
      <c r="E49" s="77"/>
    </row>
    <row r="50" spans="1:5" ht="15.75" hidden="1" x14ac:dyDescent="0.25">
      <c r="A50" s="110" t="s">
        <v>271</v>
      </c>
      <c r="B50" s="23">
        <v>0</v>
      </c>
      <c r="C50" s="95"/>
      <c r="D50" s="92">
        <v>4190</v>
      </c>
      <c r="E50" s="77"/>
    </row>
    <row r="51" spans="1:5" ht="15.75" hidden="1" x14ac:dyDescent="0.25">
      <c r="A51" s="110" t="s">
        <v>272</v>
      </c>
      <c r="B51" s="23">
        <v>0</v>
      </c>
      <c r="C51" s="95"/>
      <c r="D51" s="92"/>
      <c r="E51" s="77"/>
    </row>
    <row r="52" spans="1:5" ht="15.75" hidden="1" x14ac:dyDescent="0.25">
      <c r="A52" s="110" t="s">
        <v>273</v>
      </c>
      <c r="B52" s="23">
        <f>B21*'[3]34тарифы'!D177</f>
        <v>0</v>
      </c>
      <c r="C52" s="95"/>
      <c r="D52" s="92">
        <v>105.14</v>
      </c>
      <c r="E52" s="77"/>
    </row>
    <row r="53" spans="1:5" ht="15.75" hidden="1" x14ac:dyDescent="0.25">
      <c r="A53" s="110" t="s">
        <v>274</v>
      </c>
      <c r="B53" s="23">
        <v>0</v>
      </c>
      <c r="C53" s="95">
        <v>0</v>
      </c>
      <c r="D53" s="92">
        <v>522.99</v>
      </c>
      <c r="E53" s="77"/>
    </row>
    <row r="54" spans="1:5" ht="15.75" hidden="1" x14ac:dyDescent="0.25">
      <c r="A54" s="110" t="s">
        <v>275</v>
      </c>
      <c r="B54" s="23">
        <v>0</v>
      </c>
      <c r="C54" s="95">
        <v>0</v>
      </c>
      <c r="D54" s="111">
        <v>695.13</v>
      </c>
      <c r="E54" s="77"/>
    </row>
    <row r="55" spans="1:5" ht="15.75" hidden="1" x14ac:dyDescent="0.25">
      <c r="A55" s="110" t="s">
        <v>276</v>
      </c>
      <c r="B55" s="23">
        <v>0</v>
      </c>
      <c r="C55" s="95"/>
      <c r="D55" s="111"/>
      <c r="E55" s="77"/>
    </row>
    <row r="56" spans="1:5" ht="15.75" hidden="1" x14ac:dyDescent="0.25">
      <c r="A56" s="110" t="s">
        <v>277</v>
      </c>
      <c r="B56" s="23">
        <v>0</v>
      </c>
      <c r="C56" s="95">
        <v>0</v>
      </c>
      <c r="D56" s="92">
        <f>10695.76/1.18</f>
        <v>9064.203389830509</v>
      </c>
      <c r="E56" s="77"/>
    </row>
    <row r="57" spans="1:5" ht="15.75" hidden="1" x14ac:dyDescent="0.25">
      <c r="A57" s="110" t="s">
        <v>314</v>
      </c>
      <c r="B57" s="23">
        <v>0</v>
      </c>
      <c r="C57" s="95">
        <v>0</v>
      </c>
      <c r="D57" s="92">
        <f>2300/1.18</f>
        <v>1949.1525423728815</v>
      </c>
      <c r="E57" s="77"/>
    </row>
    <row r="58" spans="1:5" ht="15.75" hidden="1" x14ac:dyDescent="0.25">
      <c r="A58" s="110" t="s">
        <v>348</v>
      </c>
      <c r="B58" s="23"/>
      <c r="C58" s="93">
        <v>0</v>
      </c>
      <c r="D58" s="92">
        <v>0</v>
      </c>
      <c r="E58" s="77"/>
    </row>
    <row r="59" spans="1:5" ht="16.5" hidden="1" thickBot="1" x14ac:dyDescent="0.3">
      <c r="A59" s="110" t="s">
        <v>279</v>
      </c>
      <c r="B59" s="23">
        <f>B13*'[3]34тарифы'!D184</f>
        <v>0</v>
      </c>
      <c r="C59" s="89"/>
      <c r="D59" s="95"/>
      <c r="E59" s="77"/>
    </row>
    <row r="60" spans="1:5" ht="15.75" customHeight="1" x14ac:dyDescent="0.25">
      <c r="A60" s="104" t="s">
        <v>542</v>
      </c>
      <c r="B60" s="23">
        <v>4200</v>
      </c>
      <c r="C60" s="90"/>
      <c r="D60" s="92"/>
      <c r="E60" s="77"/>
    </row>
    <row r="61" spans="1:5" ht="15.75" x14ac:dyDescent="0.25">
      <c r="A61" s="104" t="s">
        <v>347</v>
      </c>
      <c r="B61" s="23">
        <v>8133.61</v>
      </c>
      <c r="C61" s="95"/>
      <c r="D61" s="92">
        <v>0</v>
      </c>
      <c r="E61" s="77"/>
    </row>
    <row r="62" spans="1:5" ht="15.75" x14ac:dyDescent="0.25">
      <c r="A62" s="104" t="s">
        <v>540</v>
      </c>
      <c r="B62" s="283">
        <v>10763.26</v>
      </c>
      <c r="C62" s="95"/>
      <c r="D62" s="92">
        <v>0</v>
      </c>
      <c r="E62" s="77"/>
    </row>
    <row r="63" spans="1:5" ht="16.5" thickBot="1" x14ac:dyDescent="0.3">
      <c r="A63" s="104" t="s">
        <v>341</v>
      </c>
      <c r="B63" s="283">
        <v>12484.76</v>
      </c>
      <c r="C63" s="113">
        <v>1</v>
      </c>
      <c r="D63" s="92">
        <v>0</v>
      </c>
      <c r="E63" s="77"/>
    </row>
    <row r="64" spans="1:5" ht="16.5" hidden="1" thickBot="1" x14ac:dyDescent="0.3">
      <c r="A64" s="104" t="s">
        <v>284</v>
      </c>
      <c r="B64" s="229">
        <v>0</v>
      </c>
      <c r="C64" s="114">
        <v>36</v>
      </c>
      <c r="D64" s="95">
        <v>2</v>
      </c>
      <c r="E64" s="77">
        <v>1</v>
      </c>
    </row>
    <row r="65" spans="1:4" s="79" customFormat="1" ht="16.5" hidden="1" thickBot="1" x14ac:dyDescent="0.3">
      <c r="A65" s="104" t="s">
        <v>285</v>
      </c>
      <c r="B65" s="229">
        <v>0</v>
      </c>
      <c r="C65" s="115">
        <v>36</v>
      </c>
      <c r="D65" s="108">
        <f>650/1.18</f>
        <v>550.84745762711873</v>
      </c>
    </row>
    <row r="66" spans="1:4" s="79" customFormat="1" ht="16.5" thickBot="1" x14ac:dyDescent="0.3">
      <c r="A66" s="116" t="s">
        <v>286</v>
      </c>
      <c r="B66" s="208">
        <f>SUM(B67:B74)</f>
        <v>137190.96509830086</v>
      </c>
      <c r="C66" s="89"/>
      <c r="D66" s="93"/>
    </row>
    <row r="67" spans="1:4" ht="16.5" hidden="1" thickBot="1" x14ac:dyDescent="0.3">
      <c r="A67" s="104" t="s">
        <v>287</v>
      </c>
      <c r="B67" s="23">
        <v>0</v>
      </c>
      <c r="C67" s="98"/>
      <c r="D67" s="108"/>
    </row>
    <row r="68" spans="1:4" ht="16.5" thickBot="1" x14ac:dyDescent="0.3">
      <c r="A68" s="104" t="s">
        <v>288</v>
      </c>
      <c r="B68" s="23">
        <f>63526*1.04*1.1194</f>
        <v>73955.444576000009</v>
      </c>
      <c r="C68" s="89"/>
      <c r="D68" s="93"/>
    </row>
    <row r="69" spans="1:4" ht="15.75" hidden="1" x14ac:dyDescent="0.25">
      <c r="A69" s="104" t="s">
        <v>289</v>
      </c>
      <c r="B69" s="23">
        <v>0</v>
      </c>
      <c r="C69" s="98"/>
      <c r="D69" s="108"/>
    </row>
    <row r="70" spans="1:4" ht="16.5" thickBot="1" x14ac:dyDescent="0.3">
      <c r="A70" s="109" t="s">
        <v>290</v>
      </c>
      <c r="B70" s="23">
        <f>'[3]34тарифы'!D164*B13*1.1194</f>
        <v>1900.7720563218429</v>
      </c>
      <c r="C70" s="93"/>
      <c r="D70" s="108"/>
    </row>
    <row r="71" spans="1:4" ht="15.75" x14ac:dyDescent="0.25">
      <c r="A71" s="109" t="s">
        <v>291</v>
      </c>
      <c r="B71" s="23">
        <f>VLOOKUP(A71,[2]Лист1!S$1:T$65536,2,FALSE)*B15</f>
        <v>7123.2784255798924</v>
      </c>
      <c r="C71" s="117"/>
      <c r="D71" s="93"/>
    </row>
    <row r="72" spans="1:4" ht="15.75" x14ac:dyDescent="0.25">
      <c r="A72" s="109" t="s">
        <v>292</v>
      </c>
      <c r="B72" s="23">
        <f>VLOOKUP(A72,[2]Лист1!S$1:T$65536,2,FALSE)*B15</f>
        <v>24866.085608399128</v>
      </c>
      <c r="C72" s="108"/>
      <c r="D72" s="93"/>
    </row>
    <row r="73" spans="1:4" ht="15.75" x14ac:dyDescent="0.25">
      <c r="A73" s="41" t="s">
        <v>293</v>
      </c>
      <c r="B73" s="23">
        <f>2669*1.04*1.1194</f>
        <v>3107.1857439999999</v>
      </c>
      <c r="C73" s="108"/>
      <c r="D73" s="93"/>
    </row>
    <row r="74" spans="1:4" ht="15.75" x14ac:dyDescent="0.25">
      <c r="A74" s="109" t="s">
        <v>294</v>
      </c>
      <c r="B74" s="23">
        <f>22538*1.04*1.1194</f>
        <v>26238.198688</v>
      </c>
      <c r="C74" s="108"/>
      <c r="D74" s="93"/>
    </row>
    <row r="75" spans="1:4" ht="47.25" x14ac:dyDescent="0.25">
      <c r="A75" s="118" t="s">
        <v>328</v>
      </c>
      <c r="B75" s="208">
        <f>SUM(B76:B76)</f>
        <v>61877.269918879996</v>
      </c>
      <c r="C75" s="108"/>
      <c r="D75" s="93"/>
    </row>
    <row r="76" spans="1:4" ht="15.75" x14ac:dyDescent="0.25">
      <c r="A76" s="109" t="s">
        <v>296</v>
      </c>
      <c r="B76" s="23">
        <f>53151.13*1.04*1.1194</f>
        <v>61877.269918879996</v>
      </c>
      <c r="C76" s="108"/>
      <c r="D76" s="93"/>
    </row>
    <row r="77" spans="1:4" s="79" customFormat="1" ht="15.75" x14ac:dyDescent="0.25">
      <c r="A77" s="116" t="s">
        <v>297</v>
      </c>
      <c r="B77" s="208">
        <f>SUM(B78:B81)</f>
        <v>46507.439351027402</v>
      </c>
      <c r="C77" s="108"/>
      <c r="D77" s="93"/>
    </row>
    <row r="78" spans="1:4" ht="32.25" thickBot="1" x14ac:dyDescent="0.3">
      <c r="A78" s="119" t="s">
        <v>329</v>
      </c>
      <c r="B78" s="23">
        <f>'[3]34тарифы'!D170*B15*1.1194</f>
        <v>37151.145497008372</v>
      </c>
      <c r="C78" s="96"/>
      <c r="D78" s="93"/>
    </row>
    <row r="79" spans="1:4" ht="16.5" hidden="1" thickBot="1" x14ac:dyDescent="0.3">
      <c r="A79" s="51" t="s">
        <v>299</v>
      </c>
      <c r="B79" s="23">
        <f>(B26/1.2)*30%</f>
        <v>0</v>
      </c>
      <c r="C79" s="98"/>
      <c r="D79" s="108"/>
    </row>
    <row r="80" spans="1:4" ht="15.75" x14ac:dyDescent="0.25">
      <c r="A80" s="120" t="s">
        <v>330</v>
      </c>
      <c r="B80" s="23">
        <f>3196.75+2775.69</f>
        <v>5972.4400000000005</v>
      </c>
      <c r="C80" s="117"/>
      <c r="D80" s="93"/>
    </row>
    <row r="81" spans="1:4" ht="15.75" x14ac:dyDescent="0.25">
      <c r="A81" s="120" t="s">
        <v>331</v>
      </c>
      <c r="B81" s="23">
        <f>'[3]34тарифы'!D173*B13*1.1194</f>
        <v>3383.8538540190248</v>
      </c>
      <c r="C81" s="108"/>
      <c r="D81" s="93"/>
    </row>
    <row r="82" spans="1:4" ht="15.75" x14ac:dyDescent="0.25">
      <c r="A82" s="121" t="s">
        <v>302</v>
      </c>
      <c r="B82" s="28">
        <f>B32+B42+B46+B66+B75+B77</f>
        <v>353770.1913069844</v>
      </c>
      <c r="C82" s="108"/>
      <c r="D82" s="93"/>
    </row>
    <row r="83" spans="1:4" ht="15.75" x14ac:dyDescent="0.25">
      <c r="A83" s="122" t="s">
        <v>303</v>
      </c>
      <c r="B83" s="23">
        <f>B82*0.03</f>
        <v>10613.105739209532</v>
      </c>
      <c r="C83" s="108"/>
      <c r="D83" s="93"/>
    </row>
    <row r="84" spans="1:4" s="103" customFormat="1" ht="15.75" x14ac:dyDescent="0.25">
      <c r="A84" s="123" t="s">
        <v>304</v>
      </c>
      <c r="B84" s="208">
        <f>B82+B83</f>
        <v>364383.29704619391</v>
      </c>
      <c r="C84" s="108"/>
      <c r="D84" s="93"/>
    </row>
    <row r="85" spans="1:4" ht="16.5" thickBot="1" x14ac:dyDescent="0.3">
      <c r="A85" s="124" t="s">
        <v>305</v>
      </c>
      <c r="B85" s="240">
        <f>B84*0.2</f>
        <v>72876.659409238782</v>
      </c>
      <c r="C85" s="108"/>
      <c r="D85" s="93"/>
    </row>
    <row r="86" spans="1:4" s="79" customFormat="1" ht="16.5" thickBot="1" x14ac:dyDescent="0.3">
      <c r="A86" s="125" t="s">
        <v>306</v>
      </c>
      <c r="B86" s="66">
        <f>B84+B85</f>
        <v>437259.95645543269</v>
      </c>
      <c r="C86" s="89"/>
      <c r="D86" s="126"/>
    </row>
    <row r="87" spans="1:4" s="79" customFormat="1" ht="16.5" thickBot="1" x14ac:dyDescent="0.3">
      <c r="A87" s="127" t="s">
        <v>307</v>
      </c>
      <c r="B87" s="296">
        <f>B10+B24+B26+B28+B29-B86</f>
        <v>-1218148.9264554328</v>
      </c>
      <c r="C87" s="128"/>
      <c r="D87" s="129"/>
    </row>
    <row r="88" spans="1:4" s="79" customFormat="1" ht="16.5" thickBot="1" x14ac:dyDescent="0.3">
      <c r="A88" s="130" t="s">
        <v>308</v>
      </c>
      <c r="B88" s="66">
        <f>B10+B25+B27+B28+B29-B86</f>
        <v>-1191853.3564554327</v>
      </c>
      <c r="C88" s="131"/>
      <c r="D88" s="129"/>
    </row>
    <row r="89" spans="1:4" s="79" customFormat="1" ht="16.5" hidden="1" thickBot="1" x14ac:dyDescent="0.3">
      <c r="A89" s="132" t="s">
        <v>309</v>
      </c>
      <c r="B89" s="66">
        <f>B11+B24-B25</f>
        <v>-26295.570000000036</v>
      </c>
      <c r="C89" s="129"/>
      <c r="D89" s="129"/>
    </row>
    <row r="90" spans="1:4" s="79" customFormat="1" ht="15.75" x14ac:dyDescent="0.25">
      <c r="A90" s="133"/>
      <c r="B90" s="242"/>
      <c r="C90" s="129"/>
      <c r="D90" s="129"/>
    </row>
    <row r="91" spans="1:4" ht="15.75" x14ac:dyDescent="0.25">
      <c r="A91" s="134"/>
      <c r="B91" s="3"/>
      <c r="C91" s="77"/>
      <c r="D91" s="77"/>
    </row>
    <row r="92" spans="1:4" ht="15.75" x14ac:dyDescent="0.25">
      <c r="A92" s="323" t="s">
        <v>332</v>
      </c>
      <c r="B92" s="323"/>
      <c r="C92" s="77"/>
      <c r="D92" s="77"/>
    </row>
    <row r="93" spans="1:4" ht="15.75" x14ac:dyDescent="0.25">
      <c r="A93" s="134"/>
      <c r="B93" s="3"/>
      <c r="C93" s="77"/>
      <c r="D93" s="77"/>
    </row>
    <row r="94" spans="1:4" ht="15.75" hidden="1" x14ac:dyDescent="0.25">
      <c r="A94" s="324" t="s">
        <v>333</v>
      </c>
      <c r="B94" s="324"/>
      <c r="C94" s="135"/>
      <c r="D94" s="77"/>
    </row>
    <row r="95" spans="1:4" ht="15.75" x14ac:dyDescent="0.25">
      <c r="A95" s="77"/>
      <c r="B95" s="3"/>
      <c r="C95" s="77"/>
      <c r="D95" s="77"/>
    </row>
  </sheetData>
  <autoFilter ref="A31:G89" xr:uid="{00000000-0009-0000-0000-000032000000}">
    <filterColumn colId="1">
      <filters>
        <filter val="-1 019 515,72"/>
        <filter val="-1 045 811,29"/>
        <filter val="1 900,77"/>
        <filter val="10 393,77"/>
        <filter val="11 509,89"/>
        <filter val="12 279,69"/>
        <filter val="137 190,97"/>
        <filter val="2 706,12"/>
        <filter val="20 702,90"/>
        <filter val="24 866,09"/>
        <filter val="26 238,20"/>
        <filter val="-26 295,57"/>
        <filter val="26 788,34"/>
        <filter val="27 306,71"/>
        <filter val="3 107,19"/>
        <filter val="3 110,17"/>
        <filter val="3 285,96"/>
        <filter val="3 383,85"/>
        <filter val="3 623,04"/>
        <filter val="33 491,70"/>
        <filter val="346 458,91"/>
        <filter val="356 852,68"/>
        <filter val="37 151,15"/>
        <filter val="39 739,68"/>
        <filter val="428 223,21"/>
        <filter val="47 370,96"/>
        <filter val="6 085,44"/>
        <filter val="6 835,96"/>
        <filter val="61 877,27"/>
        <filter val="7 123,28"/>
        <filter val="71 370,54"/>
        <filter val="73 955,44"/>
        <filter val="87,00"/>
        <filter val="9 322,80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80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filterMode="1">
    <pageSetUpPr fitToPage="1"/>
  </sheetPr>
  <dimension ref="A1:G95"/>
  <sheetViews>
    <sheetView view="pageBreakPreview" topLeftCell="A30" zoomScale="80" zoomScaleNormal="100" zoomScaleSheetLayoutView="80" workbookViewId="0">
      <selection activeCell="B81" sqref="B81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25" t="s">
        <v>224</v>
      </c>
      <c r="B1" s="313"/>
      <c r="C1" s="77"/>
      <c r="D1" s="77"/>
    </row>
    <row r="2" spans="1:4" ht="16.5" x14ac:dyDescent="0.25">
      <c r="A2" s="326" t="s">
        <v>225</v>
      </c>
      <c r="B2" s="315"/>
      <c r="C2" s="77"/>
      <c r="D2" s="77"/>
    </row>
    <row r="3" spans="1:4" ht="16.5" x14ac:dyDescent="0.25">
      <c r="A3" s="326" t="s">
        <v>226</v>
      </c>
      <c r="B3" s="315"/>
      <c r="C3" s="77"/>
      <c r="D3" s="77"/>
    </row>
    <row r="4" spans="1:4" ht="15.75" x14ac:dyDescent="0.25">
      <c r="A4" s="78" t="s">
        <v>516</v>
      </c>
      <c r="B4" s="4"/>
      <c r="C4" s="77"/>
      <c r="D4" s="77"/>
    </row>
    <row r="5" spans="1:4" ht="15.75" x14ac:dyDescent="0.25">
      <c r="A5" s="78" t="s">
        <v>115</v>
      </c>
      <c r="B5" s="4"/>
      <c r="C5" s="77"/>
      <c r="D5" s="77"/>
    </row>
    <row r="6" spans="1:4" ht="5.25" customHeight="1" x14ac:dyDescent="0.25">
      <c r="A6" s="78"/>
      <c r="B6" s="8"/>
      <c r="C6" s="79"/>
      <c r="D6" s="77"/>
    </row>
    <row r="7" spans="1:4" ht="16.5" thickBot="1" x14ac:dyDescent="0.3">
      <c r="A7" s="80"/>
      <c r="B7" s="8"/>
      <c r="C7" s="79"/>
      <c r="D7" s="77"/>
    </row>
    <row r="8" spans="1:4" ht="15.75" customHeight="1" x14ac:dyDescent="0.2">
      <c r="A8" s="327" t="s">
        <v>227</v>
      </c>
      <c r="B8" s="329" t="s">
        <v>228</v>
      </c>
      <c r="C8" s="331" t="s">
        <v>229</v>
      </c>
      <c r="D8" s="321" t="s">
        <v>230</v>
      </c>
    </row>
    <row r="9" spans="1:4" ht="28.5" customHeight="1" thickBot="1" x14ac:dyDescent="0.25">
      <c r="A9" s="328"/>
      <c r="B9" s="330"/>
      <c r="C9" s="332"/>
      <c r="D9" s="322"/>
    </row>
    <row r="10" spans="1:4" ht="16.5" thickBot="1" x14ac:dyDescent="0.25">
      <c r="A10" s="81" t="s">
        <v>231</v>
      </c>
      <c r="B10" s="302">
        <f>VLOOKUP(A5,мкд!S:T,2,FALSE)</f>
        <v>185823.47</v>
      </c>
      <c r="C10" s="83"/>
      <c r="D10" s="84"/>
    </row>
    <row r="11" spans="1:4" ht="16.5" hidden="1" thickBot="1" x14ac:dyDescent="0.25">
      <c r="A11" s="85" t="s">
        <v>232</v>
      </c>
      <c r="B11" s="291"/>
      <c r="C11" s="84"/>
      <c r="D11" s="86"/>
    </row>
    <row r="12" spans="1:4" ht="16.5" thickBot="1" x14ac:dyDescent="0.3">
      <c r="A12" s="87" t="s">
        <v>233</v>
      </c>
      <c r="B12" s="217"/>
      <c r="C12" s="89" t="s">
        <v>234</v>
      </c>
      <c r="D12" s="90" t="s">
        <v>234</v>
      </c>
    </row>
    <row r="13" spans="1:4" ht="16.5" hidden="1" thickBot="1" x14ac:dyDescent="0.3">
      <c r="A13" s="91" t="s">
        <v>235</v>
      </c>
      <c r="B13" s="23">
        <v>2460.9</v>
      </c>
      <c r="C13" s="90" t="s">
        <v>234</v>
      </c>
      <c r="D13" s="92" t="s">
        <v>234</v>
      </c>
    </row>
    <row r="14" spans="1:4" ht="16.5" hidden="1" thickBot="1" x14ac:dyDescent="0.3">
      <c r="A14" s="91" t="s">
        <v>236</v>
      </c>
      <c r="B14" s="23">
        <v>151.80000000000001</v>
      </c>
      <c r="C14" s="93"/>
      <c r="D14" s="92"/>
    </row>
    <row r="15" spans="1:4" ht="16.5" hidden="1" thickBot="1" x14ac:dyDescent="0.3">
      <c r="A15" s="91" t="s">
        <v>237</v>
      </c>
      <c r="B15" s="23">
        <f>B13+B14</f>
        <v>2612.7000000000003</v>
      </c>
      <c r="C15" s="94"/>
      <c r="D15" s="95"/>
    </row>
    <row r="16" spans="1:4" ht="16.5" hidden="1" thickBot="1" x14ac:dyDescent="0.3">
      <c r="A16" s="91" t="s">
        <v>238</v>
      </c>
      <c r="B16" s="23">
        <f>965.25+950.4/3</f>
        <v>1282.05</v>
      </c>
      <c r="C16" s="96" t="s">
        <v>234</v>
      </c>
      <c r="D16" s="95" t="s">
        <v>234</v>
      </c>
    </row>
    <row r="17" spans="1:7" ht="16.5" hidden="1" thickBot="1" x14ac:dyDescent="0.3">
      <c r="A17" s="91" t="s">
        <v>239</v>
      </c>
      <c r="B17" s="147">
        <v>0</v>
      </c>
      <c r="C17" s="90" t="s">
        <v>234</v>
      </c>
      <c r="D17" s="92" t="s">
        <v>234</v>
      </c>
      <c r="E17" s="77"/>
      <c r="F17" s="77"/>
      <c r="G17" s="77"/>
    </row>
    <row r="18" spans="1:7" ht="16.5" hidden="1" thickBot="1" x14ac:dyDescent="0.3">
      <c r="A18" s="91" t="s">
        <v>240</v>
      </c>
      <c r="B18" s="147">
        <v>680.2</v>
      </c>
      <c r="C18" s="95" t="s">
        <v>234</v>
      </c>
      <c r="D18" s="92" t="s">
        <v>234</v>
      </c>
      <c r="E18" s="77"/>
      <c r="F18" s="77"/>
      <c r="G18" s="77"/>
    </row>
    <row r="19" spans="1:7" ht="16.5" hidden="1" thickBot="1" x14ac:dyDescent="0.3">
      <c r="A19" s="91" t="s">
        <v>241</v>
      </c>
      <c r="B19" s="147">
        <v>0</v>
      </c>
      <c r="C19" s="95" t="s">
        <v>234</v>
      </c>
      <c r="D19" s="92" t="s">
        <v>234</v>
      </c>
      <c r="E19" s="77"/>
      <c r="F19" s="77"/>
      <c r="G19" s="77"/>
    </row>
    <row r="20" spans="1:7" ht="16.5" hidden="1" thickBot="1" x14ac:dyDescent="0.3">
      <c r="A20" s="91" t="s">
        <v>242</v>
      </c>
      <c r="B20" s="147">
        <v>744</v>
      </c>
      <c r="C20" s="95"/>
      <c r="D20" s="92"/>
      <c r="E20" s="77"/>
      <c r="F20" s="77"/>
      <c r="G20" s="77"/>
    </row>
    <row r="21" spans="1:7" ht="16.5" hidden="1" thickBot="1" x14ac:dyDescent="0.3">
      <c r="A21" s="91" t="s">
        <v>243</v>
      </c>
      <c r="B21" s="147">
        <v>0</v>
      </c>
      <c r="C21" s="95" t="s">
        <v>234</v>
      </c>
      <c r="D21" s="92" t="s">
        <v>234</v>
      </c>
      <c r="E21" s="77"/>
      <c r="F21" s="77"/>
      <c r="G21" s="77"/>
    </row>
    <row r="22" spans="1:7" ht="16.5" hidden="1" thickBot="1" x14ac:dyDescent="0.3">
      <c r="A22" s="91" t="s">
        <v>244</v>
      </c>
      <c r="B22" s="147">
        <v>127</v>
      </c>
      <c r="C22" s="93"/>
      <c r="D22" s="92"/>
      <c r="E22" s="77"/>
      <c r="F22" s="77"/>
      <c r="G22" s="77"/>
    </row>
    <row r="23" spans="1:7" ht="15.75" x14ac:dyDescent="0.25">
      <c r="A23" s="91"/>
      <c r="B23" s="23"/>
      <c r="C23" s="94"/>
      <c r="D23" s="95"/>
      <c r="E23" s="77">
        <v>10</v>
      </c>
      <c r="F23" s="77">
        <v>2</v>
      </c>
      <c r="G23" s="77"/>
    </row>
    <row r="24" spans="1:7" ht="15.75" x14ac:dyDescent="0.25">
      <c r="A24" s="97" t="s">
        <v>319</v>
      </c>
      <c r="B24" s="28">
        <f>VLOOKUP(A5,[2]Лист1!M$1:N$65536,2,FALSE)</f>
        <v>461639.28</v>
      </c>
      <c r="C24" s="92"/>
      <c r="D24" s="95"/>
      <c r="E24" s="26">
        <v>15.3299999776</v>
      </c>
      <c r="F24" s="256">
        <v>17.160401974925438</v>
      </c>
      <c r="G24" s="77"/>
    </row>
    <row r="25" spans="1:7" ht="16.5" thickBot="1" x14ac:dyDescent="0.3">
      <c r="A25" s="97" t="s">
        <v>320</v>
      </c>
      <c r="B25" s="28">
        <f>VLOOKUP(A5,[2]Лист1!M$1:O$65536,3,FALSE)</f>
        <v>448222.27</v>
      </c>
      <c r="C25" s="96"/>
      <c r="D25" s="95"/>
      <c r="E25" s="77"/>
      <c r="F25" s="77"/>
      <c r="G25" s="77"/>
    </row>
    <row r="26" spans="1:7" ht="15.75" x14ac:dyDescent="0.25">
      <c r="A26" s="97" t="s">
        <v>353</v>
      </c>
      <c r="B26" s="28">
        <v>34897.32</v>
      </c>
      <c r="C26" s="90"/>
      <c r="D26" s="92"/>
      <c r="E26" s="77"/>
      <c r="F26" s="77"/>
      <c r="G26" s="77"/>
    </row>
    <row r="27" spans="1:7" ht="16.5" thickBot="1" x14ac:dyDescent="0.3">
      <c r="A27" s="97" t="s">
        <v>354</v>
      </c>
      <c r="B27" s="282">
        <v>31508.45</v>
      </c>
      <c r="C27" s="93"/>
      <c r="D27" s="92"/>
      <c r="E27" s="77"/>
      <c r="F27" s="77"/>
      <c r="G27" s="77"/>
    </row>
    <row r="28" spans="1:7" ht="16.5" thickBot="1" x14ac:dyDescent="0.3">
      <c r="A28" s="97" t="s">
        <v>249</v>
      </c>
      <c r="B28" s="28">
        <v>7611.96</v>
      </c>
      <c r="C28" s="89"/>
      <c r="D28" s="95"/>
      <c r="E28" s="77"/>
      <c r="F28" s="77"/>
      <c r="G28" s="77"/>
    </row>
    <row r="29" spans="1:7" ht="16.5" hidden="1" thickBot="1" x14ac:dyDescent="0.3">
      <c r="A29" s="97" t="s">
        <v>250</v>
      </c>
      <c r="B29" s="282"/>
      <c r="C29" s="98"/>
      <c r="D29" s="92"/>
      <c r="E29" s="77"/>
      <c r="F29" s="77"/>
      <c r="G29" s="77"/>
    </row>
    <row r="30" spans="1:7" ht="15.75" x14ac:dyDescent="0.25">
      <c r="A30" s="99"/>
      <c r="B30" s="23"/>
      <c r="C30" s="94"/>
      <c r="D30" s="95"/>
      <c r="E30" s="77"/>
      <c r="F30" s="77"/>
      <c r="G30" s="77"/>
    </row>
    <row r="31" spans="1:7" ht="15.75" x14ac:dyDescent="0.25">
      <c r="A31" s="100" t="s">
        <v>251</v>
      </c>
      <c r="B31" s="23"/>
      <c r="C31" s="92"/>
      <c r="D31" s="95"/>
      <c r="E31" s="77"/>
      <c r="F31" s="77"/>
      <c r="G31" s="77"/>
    </row>
    <row r="32" spans="1:7" s="103" customFormat="1" ht="31.5" x14ac:dyDescent="0.25">
      <c r="A32" s="101" t="s">
        <v>252</v>
      </c>
      <c r="B32" s="208">
        <f>SUM(B33:B41)</f>
        <v>26618.950015999999</v>
      </c>
      <c r="C32" s="92"/>
      <c r="D32" s="95"/>
      <c r="E32" s="102">
        <f>(B86-B26-B24)/1.2/1.03</f>
        <v>46893.610457679555</v>
      </c>
      <c r="F32" s="102" t="e">
        <f>(#REF!-#REF!-#REF!)/1.2/1.03</f>
        <v>#REF!</v>
      </c>
      <c r="G32" s="102" t="e">
        <f>(#REF!-#REF!-#REF!)/1.2/1.03</f>
        <v>#REF!</v>
      </c>
    </row>
    <row r="33" spans="1:7" ht="16.5" thickBot="1" x14ac:dyDescent="0.3">
      <c r="A33" s="104" t="s">
        <v>253</v>
      </c>
      <c r="B33" s="23">
        <f>18494.64*1.1194</f>
        <v>20702.900016</v>
      </c>
      <c r="C33" s="96"/>
      <c r="D33" s="95">
        <v>47366.46</v>
      </c>
      <c r="E33" s="77"/>
      <c r="F33" s="77"/>
      <c r="G33" s="77"/>
    </row>
    <row r="34" spans="1:7" ht="15.75" hidden="1" x14ac:dyDescent="0.25">
      <c r="A34" s="104" t="s">
        <v>322</v>
      </c>
      <c r="B34" s="292">
        <v>0</v>
      </c>
      <c r="C34" s="90"/>
      <c r="D34" s="92">
        <v>0</v>
      </c>
      <c r="E34" s="77"/>
      <c r="F34" s="77"/>
      <c r="G34" s="77"/>
    </row>
    <row r="35" spans="1:7" ht="15.75" hidden="1" x14ac:dyDescent="0.25">
      <c r="A35" s="104" t="s">
        <v>256</v>
      </c>
      <c r="B35" s="23">
        <v>0</v>
      </c>
      <c r="C35" s="95"/>
      <c r="D35" s="92">
        <v>0</v>
      </c>
      <c r="E35" s="77"/>
      <c r="F35" s="77"/>
      <c r="G35" s="77"/>
    </row>
    <row r="36" spans="1:7" ht="15.75" hidden="1" x14ac:dyDescent="0.25">
      <c r="A36" s="104" t="s">
        <v>255</v>
      </c>
      <c r="B36" s="23">
        <v>0</v>
      </c>
      <c r="C36" s="95" t="s">
        <v>234</v>
      </c>
      <c r="D36" s="92">
        <v>0</v>
      </c>
      <c r="E36" s="77"/>
      <c r="F36" s="77"/>
      <c r="G36" s="77"/>
    </row>
    <row r="37" spans="1:7" ht="16.5" thickBot="1" x14ac:dyDescent="0.3">
      <c r="A37" s="104" t="s">
        <v>257</v>
      </c>
      <c r="B37" s="23">
        <v>5916.05</v>
      </c>
      <c r="C37" s="95"/>
      <c r="D37" s="92">
        <v>0</v>
      </c>
      <c r="E37" s="77"/>
      <c r="F37" s="77"/>
      <c r="G37" s="77"/>
    </row>
    <row r="38" spans="1:7" ht="16.5" hidden="1" thickBot="1" x14ac:dyDescent="0.3">
      <c r="A38" s="104" t="s">
        <v>256</v>
      </c>
      <c r="B38" s="23"/>
      <c r="C38" s="95"/>
      <c r="D38" s="92">
        <v>0</v>
      </c>
      <c r="E38" s="77"/>
      <c r="F38" s="77"/>
      <c r="G38" s="77"/>
    </row>
    <row r="39" spans="1:7" ht="16.5" hidden="1" thickBot="1" x14ac:dyDescent="0.3">
      <c r="A39" s="104" t="s">
        <v>255</v>
      </c>
      <c r="B39" s="147"/>
      <c r="C39" s="95"/>
      <c r="D39" s="92">
        <v>0</v>
      </c>
      <c r="E39" s="77"/>
      <c r="F39" s="77"/>
      <c r="G39" s="77"/>
    </row>
    <row r="40" spans="1:7" ht="16.5" hidden="1" thickBot="1" x14ac:dyDescent="0.3">
      <c r="A40" s="104" t="s">
        <v>312</v>
      </c>
      <c r="B40" s="147"/>
      <c r="C40" s="95"/>
      <c r="D40" s="92"/>
      <c r="E40" s="77"/>
      <c r="F40" s="77"/>
      <c r="G40" s="77"/>
    </row>
    <row r="41" spans="1:7" ht="16.5" hidden="1" thickBot="1" x14ac:dyDescent="0.3">
      <c r="A41" s="104" t="s">
        <v>498</v>
      </c>
      <c r="B41" s="147"/>
      <c r="C41" s="93"/>
      <c r="D41" s="92"/>
      <c r="E41" s="77"/>
      <c r="F41" s="77"/>
      <c r="G41" s="77"/>
    </row>
    <row r="42" spans="1:7" s="103" customFormat="1" ht="48" thickBot="1" x14ac:dyDescent="0.3">
      <c r="A42" s="101" t="s">
        <v>325</v>
      </c>
      <c r="B42" s="208">
        <f>SUM(B43:B45)</f>
        <v>26854.317824206246</v>
      </c>
      <c r="C42" s="89"/>
      <c r="D42" s="95"/>
      <c r="E42" s="102"/>
      <c r="F42" s="102"/>
      <c r="G42" s="102"/>
    </row>
    <row r="43" spans="1:7" ht="15.75" x14ac:dyDescent="0.25">
      <c r="A43" s="104" t="s">
        <v>262</v>
      </c>
      <c r="B43" s="23">
        <v>8931.2800000000007</v>
      </c>
      <c r="C43" s="98"/>
      <c r="D43" s="108"/>
      <c r="E43" s="77"/>
      <c r="F43" s="77"/>
      <c r="G43" s="77"/>
    </row>
    <row r="44" spans="1:7" ht="15.75" x14ac:dyDescent="0.25">
      <c r="A44" s="104" t="s">
        <v>263</v>
      </c>
      <c r="B44" s="23">
        <v>2138.5700000000002</v>
      </c>
      <c r="C44" s="93"/>
      <c r="D44" s="108"/>
      <c r="E44" s="77"/>
      <c r="F44" s="77"/>
      <c r="G44" s="77"/>
    </row>
    <row r="45" spans="1:7" ht="16.5" thickBot="1" x14ac:dyDescent="0.3">
      <c r="A45" s="109" t="s">
        <v>264</v>
      </c>
      <c r="B45" s="23">
        <f>('[3]34тарифы'!D163*B15+239.24)*1.1194</f>
        <v>15784.467824206245</v>
      </c>
      <c r="C45" s="93"/>
      <c r="D45" s="108"/>
      <c r="E45" s="77"/>
      <c r="F45" s="77"/>
      <c r="G45" s="77"/>
    </row>
    <row r="46" spans="1:7" s="79" customFormat="1" ht="16.5" thickBot="1" x14ac:dyDescent="0.3">
      <c r="A46" s="101" t="s">
        <v>265</v>
      </c>
      <c r="B46" s="208">
        <f>SUM(B47:B65)</f>
        <v>58730.959999999992</v>
      </c>
      <c r="C46" s="89"/>
      <c r="D46" s="95"/>
    </row>
    <row r="47" spans="1:7" ht="15.75" x14ac:dyDescent="0.25">
      <c r="A47" s="104" t="s">
        <v>326</v>
      </c>
      <c r="B47" s="229">
        <v>1496.44</v>
      </c>
      <c r="C47" s="90"/>
      <c r="D47" s="92"/>
      <c r="E47" s="77" t="s">
        <v>267</v>
      </c>
      <c r="F47" s="77"/>
      <c r="G47" s="77"/>
    </row>
    <row r="48" spans="1:7" ht="15.75" x14ac:dyDescent="0.25">
      <c r="A48" s="104" t="s">
        <v>317</v>
      </c>
      <c r="B48" s="229">
        <v>4690.96</v>
      </c>
      <c r="C48" s="95"/>
      <c r="D48" s="92"/>
      <c r="E48" s="77" t="s">
        <v>269</v>
      </c>
      <c r="F48" s="77"/>
      <c r="G48" s="77"/>
    </row>
    <row r="49" spans="1:5" ht="15.75" x14ac:dyDescent="0.25">
      <c r="A49" s="110" t="s">
        <v>362</v>
      </c>
      <c r="B49" s="147">
        <f>53.36</f>
        <v>53.36</v>
      </c>
      <c r="C49" s="95"/>
      <c r="D49" s="92"/>
      <c r="E49" s="77"/>
    </row>
    <row r="50" spans="1:5" ht="15.75" hidden="1" x14ac:dyDescent="0.25">
      <c r="A50" s="110" t="s">
        <v>271</v>
      </c>
      <c r="B50" s="147">
        <v>0</v>
      </c>
      <c r="C50" s="95"/>
      <c r="D50" s="92">
        <v>4190</v>
      </c>
      <c r="E50" s="77"/>
    </row>
    <row r="51" spans="1:5" ht="15.75" hidden="1" x14ac:dyDescent="0.25">
      <c r="A51" s="110" t="s">
        <v>272</v>
      </c>
      <c r="B51" s="147">
        <v>0</v>
      </c>
      <c r="C51" s="95"/>
      <c r="D51" s="92"/>
      <c r="E51" s="77"/>
    </row>
    <row r="52" spans="1:5" ht="15.75" hidden="1" x14ac:dyDescent="0.25">
      <c r="A52" s="110" t="s">
        <v>273</v>
      </c>
      <c r="B52" s="147">
        <f>B21*'[3]34тарифы'!D177</f>
        <v>0</v>
      </c>
      <c r="C52" s="95"/>
      <c r="D52" s="92">
        <v>105.14</v>
      </c>
      <c r="E52" s="77"/>
    </row>
    <row r="53" spans="1:5" ht="15.75" hidden="1" x14ac:dyDescent="0.25">
      <c r="A53" s="110" t="s">
        <v>274</v>
      </c>
      <c r="B53" s="147">
        <v>0</v>
      </c>
      <c r="C53" s="95">
        <v>0</v>
      </c>
      <c r="D53" s="92">
        <v>522.99</v>
      </c>
      <c r="E53" s="77"/>
    </row>
    <row r="54" spans="1:5" ht="15.75" x14ac:dyDescent="0.25">
      <c r="A54" s="143" t="s">
        <v>359</v>
      </c>
      <c r="B54" s="229">
        <v>6100</v>
      </c>
      <c r="C54" s="95">
        <v>0</v>
      </c>
      <c r="D54" s="111">
        <v>695.13</v>
      </c>
      <c r="E54" s="77"/>
    </row>
    <row r="55" spans="1:5" ht="15.75" hidden="1" x14ac:dyDescent="0.25">
      <c r="A55" s="110" t="s">
        <v>276</v>
      </c>
      <c r="B55" s="147">
        <v>0</v>
      </c>
      <c r="C55" s="95"/>
      <c r="D55" s="111"/>
      <c r="E55" s="77"/>
    </row>
    <row r="56" spans="1:5" ht="15.75" hidden="1" x14ac:dyDescent="0.25">
      <c r="A56" s="110" t="s">
        <v>277</v>
      </c>
      <c r="B56" s="147">
        <v>0</v>
      </c>
      <c r="C56" s="95">
        <v>0</v>
      </c>
      <c r="D56" s="92">
        <f>10695.76/1.18</f>
        <v>9064.203389830509</v>
      </c>
      <c r="E56" s="77"/>
    </row>
    <row r="57" spans="1:5" ht="15.75" hidden="1" x14ac:dyDescent="0.25">
      <c r="A57" s="110" t="s">
        <v>314</v>
      </c>
      <c r="B57" s="147">
        <v>0</v>
      </c>
      <c r="C57" s="95">
        <v>0</v>
      </c>
      <c r="D57" s="92">
        <f>2300/1.18</f>
        <v>1949.1525423728815</v>
      </c>
      <c r="E57" s="77"/>
    </row>
    <row r="58" spans="1:5" ht="15.75" hidden="1" x14ac:dyDescent="0.25">
      <c r="A58" s="110" t="s">
        <v>315</v>
      </c>
      <c r="B58" s="147">
        <v>0</v>
      </c>
      <c r="C58" s="93">
        <v>0</v>
      </c>
      <c r="D58" s="92">
        <v>0</v>
      </c>
      <c r="E58" s="77"/>
    </row>
    <row r="59" spans="1:5" ht="16.5" hidden="1" thickBot="1" x14ac:dyDescent="0.3">
      <c r="A59" s="110" t="s">
        <v>279</v>
      </c>
      <c r="B59" s="23">
        <f>B13*'[3]34тарифы'!D184</f>
        <v>0</v>
      </c>
      <c r="C59" s="89"/>
      <c r="D59" s="95"/>
      <c r="E59" s="77"/>
    </row>
    <row r="60" spans="1:5" ht="15.75" hidden="1" x14ac:dyDescent="0.25">
      <c r="A60" s="104" t="s">
        <v>348</v>
      </c>
      <c r="B60" s="147"/>
      <c r="C60" s="90"/>
      <c r="D60" s="92"/>
      <c r="E60" s="77"/>
    </row>
    <row r="61" spans="1:5" ht="15.75" x14ac:dyDescent="0.25">
      <c r="A61" s="104" t="s">
        <v>412</v>
      </c>
      <c r="B61" s="147">
        <v>0</v>
      </c>
      <c r="C61" s="95"/>
      <c r="D61" s="92">
        <v>0</v>
      </c>
      <c r="E61" s="77"/>
    </row>
    <row r="62" spans="1:5" ht="15.75" x14ac:dyDescent="0.25">
      <c r="A62" s="104" t="s">
        <v>542</v>
      </c>
      <c r="B62" s="147">
        <v>4200</v>
      </c>
      <c r="C62" s="95"/>
      <c r="D62" s="92">
        <v>0</v>
      </c>
      <c r="E62" s="77"/>
    </row>
    <row r="63" spans="1:5" ht="16.5" thickBot="1" x14ac:dyDescent="0.3">
      <c r="A63" s="104" t="s">
        <v>341</v>
      </c>
      <c r="B63" s="229">
        <v>42190.2</v>
      </c>
      <c r="C63" s="113">
        <v>1</v>
      </c>
      <c r="D63" s="92">
        <v>0</v>
      </c>
      <c r="E63" s="77"/>
    </row>
    <row r="64" spans="1:5" ht="16.5" hidden="1" thickBot="1" x14ac:dyDescent="0.3">
      <c r="A64" s="104" t="s">
        <v>284</v>
      </c>
      <c r="B64" s="229">
        <v>0</v>
      </c>
      <c r="C64" s="114">
        <v>57</v>
      </c>
      <c r="D64" s="95">
        <v>2</v>
      </c>
      <c r="E64" s="77">
        <v>1</v>
      </c>
    </row>
    <row r="65" spans="1:4" s="79" customFormat="1" ht="16.5" hidden="1" thickBot="1" x14ac:dyDescent="0.3">
      <c r="A65" s="104" t="s">
        <v>285</v>
      </c>
      <c r="B65" s="293">
        <v>0</v>
      </c>
      <c r="C65" s="115">
        <v>60</v>
      </c>
      <c r="D65" s="108">
        <f>650/1.18</f>
        <v>550.84745762711873</v>
      </c>
    </row>
    <row r="66" spans="1:4" s="79" customFormat="1" ht="16.5" thickBot="1" x14ac:dyDescent="0.3">
      <c r="A66" s="116" t="s">
        <v>286</v>
      </c>
      <c r="B66" s="208">
        <f>SUM(B67:B74)</f>
        <v>161220.49925956214</v>
      </c>
      <c r="C66" s="89"/>
      <c r="D66" s="93"/>
    </row>
    <row r="67" spans="1:4" ht="16.5" hidden="1" thickBot="1" x14ac:dyDescent="0.3">
      <c r="A67" s="104" t="s">
        <v>287</v>
      </c>
      <c r="B67" s="147">
        <v>0</v>
      </c>
      <c r="C67" s="98"/>
      <c r="D67" s="108"/>
    </row>
    <row r="68" spans="1:4" ht="16.5" thickBot="1" x14ac:dyDescent="0.3">
      <c r="A68" s="104" t="s">
        <v>288</v>
      </c>
      <c r="B68" s="23">
        <f>46783*1.04*1.1194</f>
        <v>54463.645807999994</v>
      </c>
      <c r="C68" s="89"/>
      <c r="D68" s="93"/>
    </row>
    <row r="69" spans="1:4" ht="15.75" hidden="1" x14ac:dyDescent="0.25">
      <c r="A69" s="104" t="s">
        <v>289</v>
      </c>
      <c r="B69" s="147">
        <v>0</v>
      </c>
      <c r="C69" s="98"/>
      <c r="D69" s="108"/>
    </row>
    <row r="70" spans="1:4" ht="16.5" thickBot="1" x14ac:dyDescent="0.3">
      <c r="A70" s="109" t="s">
        <v>290</v>
      </c>
      <c r="B70" s="23">
        <f>'[3]34тарифы'!D164*B13</f>
        <v>2713.0736494236189</v>
      </c>
      <c r="C70" s="93"/>
      <c r="D70" s="108"/>
    </row>
    <row r="71" spans="1:4" ht="15.75" x14ac:dyDescent="0.25">
      <c r="A71" s="109" t="s">
        <v>291</v>
      </c>
      <c r="B71" s="23">
        <f>VLOOKUP(A71,[2]Лист1!S$1:T$65536,2,FALSE)*B15</f>
        <v>12083.48886022113</v>
      </c>
      <c r="C71" s="117"/>
      <c r="D71" s="93"/>
    </row>
    <row r="72" spans="1:4" ht="15.75" x14ac:dyDescent="0.25">
      <c r="A72" s="109" t="s">
        <v>292</v>
      </c>
      <c r="B72" s="23">
        <f>VLOOKUP(A72,[2]Лист1!S$1:T$65536,2,FALSE)*B15</f>
        <v>42181.28935791742</v>
      </c>
      <c r="C72" s="108"/>
      <c r="D72" s="93"/>
    </row>
    <row r="73" spans="1:4" ht="15.75" x14ac:dyDescent="0.25">
      <c r="A73" s="41" t="s">
        <v>293</v>
      </c>
      <c r="B73" s="23">
        <f>4527*1.04*1.1194</f>
        <v>5270.2247520000001</v>
      </c>
      <c r="C73" s="108"/>
      <c r="D73" s="93"/>
    </row>
    <row r="74" spans="1:4" ht="15.75" x14ac:dyDescent="0.25">
      <c r="A74" s="109" t="s">
        <v>294</v>
      </c>
      <c r="B74" s="23">
        <f>38232*1.04*1.1194</f>
        <v>44508.776831999996</v>
      </c>
      <c r="C74" s="108"/>
      <c r="D74" s="93"/>
    </row>
    <row r="75" spans="1:4" ht="47.25" x14ac:dyDescent="0.25">
      <c r="A75" s="118" t="s">
        <v>328</v>
      </c>
      <c r="B75" s="208">
        <f>SUM(B76:B76)</f>
        <v>83705.346811282696</v>
      </c>
      <c r="C75" s="108"/>
      <c r="D75" s="93"/>
    </row>
    <row r="76" spans="1:4" ht="15.75" x14ac:dyDescent="0.25">
      <c r="A76" s="109" t="s">
        <v>296</v>
      </c>
      <c r="B76" s="23">
        <f>'[3]34ОЭР'!D140*1.1194</f>
        <v>83705.346811282696</v>
      </c>
      <c r="C76" s="108"/>
      <c r="D76" s="93"/>
    </row>
    <row r="77" spans="1:4" s="79" customFormat="1" ht="15.75" x14ac:dyDescent="0.25">
      <c r="A77" s="116" t="s">
        <v>297</v>
      </c>
      <c r="B77" s="208">
        <f>SUM(B78:B81)</f>
        <v>91492.177323327604</v>
      </c>
      <c r="C77" s="108"/>
      <c r="D77" s="93"/>
    </row>
    <row r="78" spans="1:4" ht="32.25" thickBot="1" x14ac:dyDescent="0.3">
      <c r="A78" s="119" t="s">
        <v>329</v>
      </c>
      <c r="B78" s="23">
        <f>'[3]34тарифы'!D170*B15*1.1194</f>
        <v>63020.904973402008</v>
      </c>
      <c r="C78" s="96"/>
      <c r="D78" s="93"/>
    </row>
    <row r="79" spans="1:4" ht="16.5" thickBot="1" x14ac:dyDescent="0.3">
      <c r="A79" s="51" t="s">
        <v>299</v>
      </c>
      <c r="B79" s="23">
        <f>(B26/1.2)*30%</f>
        <v>8724.33</v>
      </c>
      <c r="C79" s="98"/>
      <c r="D79" s="108"/>
    </row>
    <row r="80" spans="1:4" ht="15.75" x14ac:dyDescent="0.25">
      <c r="A80" s="120" t="s">
        <v>330</v>
      </c>
      <c r="B80" s="23">
        <f>7575.6+6764.69</f>
        <v>14340.29</v>
      </c>
      <c r="C80" s="117"/>
      <c r="D80" s="93"/>
    </row>
    <row r="81" spans="1:4" ht="15.75" x14ac:dyDescent="0.25">
      <c r="A81" s="120" t="s">
        <v>331</v>
      </c>
      <c r="B81" s="23">
        <f>'[3]34тарифы'!D173*B13*1.1194</f>
        <v>5406.6523499256064</v>
      </c>
      <c r="C81" s="108"/>
      <c r="D81" s="93"/>
    </row>
    <row r="82" spans="1:4" ht="15.75" x14ac:dyDescent="0.25">
      <c r="A82" s="121" t="s">
        <v>302</v>
      </c>
      <c r="B82" s="28">
        <f>B32+B42+B46+B66+B75+B77</f>
        <v>448622.25123437867</v>
      </c>
      <c r="C82" s="108"/>
      <c r="D82" s="93"/>
    </row>
    <row r="83" spans="1:4" ht="15.75" x14ac:dyDescent="0.25">
      <c r="A83" s="122" t="s">
        <v>303</v>
      </c>
      <c r="B83" s="23">
        <f>B82*0.03</f>
        <v>13458.667537031359</v>
      </c>
      <c r="C83" s="108"/>
      <c r="D83" s="93"/>
    </row>
    <row r="84" spans="1:4" s="103" customFormat="1" ht="15.75" x14ac:dyDescent="0.25">
      <c r="A84" s="123" t="s">
        <v>304</v>
      </c>
      <c r="B84" s="208">
        <f>B82+B83</f>
        <v>462080.91877141001</v>
      </c>
      <c r="C84" s="108"/>
      <c r="D84" s="93"/>
    </row>
    <row r="85" spans="1:4" ht="16.5" thickBot="1" x14ac:dyDescent="0.3">
      <c r="A85" s="124" t="s">
        <v>305</v>
      </c>
      <c r="B85" s="240">
        <f>B84*0.2</f>
        <v>92416.183754282014</v>
      </c>
      <c r="C85" s="108"/>
      <c r="D85" s="93"/>
    </row>
    <row r="86" spans="1:4" s="79" customFormat="1" ht="16.5" thickBot="1" x14ac:dyDescent="0.3">
      <c r="A86" s="125" t="s">
        <v>306</v>
      </c>
      <c r="B86" s="66">
        <f>B84+B85</f>
        <v>554497.10252569197</v>
      </c>
      <c r="C86" s="89"/>
      <c r="D86" s="126"/>
    </row>
    <row r="87" spans="1:4" s="79" customFormat="1" ht="16.5" thickBot="1" x14ac:dyDescent="0.3">
      <c r="A87" s="127" t="s">
        <v>307</v>
      </c>
      <c r="B87" s="296">
        <f>B10+B24+B26+B28+B29-B86</f>
        <v>135474.92747430794</v>
      </c>
      <c r="C87" s="128"/>
      <c r="D87" s="129"/>
    </row>
    <row r="88" spans="1:4" s="79" customFormat="1" ht="16.5" thickBot="1" x14ac:dyDescent="0.3">
      <c r="A88" s="130" t="s">
        <v>308</v>
      </c>
      <c r="B88" s="66">
        <f>B10+B25+B27+B28+B29-B86</f>
        <v>118669.04747430794</v>
      </c>
      <c r="C88" s="131"/>
      <c r="D88" s="129"/>
    </row>
    <row r="89" spans="1:4" s="79" customFormat="1" ht="16.5" hidden="1" thickBot="1" x14ac:dyDescent="0.3">
      <c r="A89" s="132" t="s">
        <v>309</v>
      </c>
      <c r="B89" s="66">
        <f>B11+B24-B25</f>
        <v>13417.010000000009</v>
      </c>
      <c r="C89" s="129"/>
      <c r="D89" s="129"/>
    </row>
    <row r="90" spans="1:4" s="79" customFormat="1" ht="15.75" x14ac:dyDescent="0.25">
      <c r="A90" s="133"/>
      <c r="B90" s="242"/>
      <c r="C90" s="129"/>
      <c r="D90" s="129"/>
    </row>
    <row r="91" spans="1:4" ht="15.75" x14ac:dyDescent="0.25">
      <c r="A91" s="134"/>
      <c r="B91" s="3"/>
      <c r="C91" s="77"/>
      <c r="D91" s="77"/>
    </row>
    <row r="92" spans="1:4" ht="15.75" x14ac:dyDescent="0.25">
      <c r="A92" s="323" t="s">
        <v>332</v>
      </c>
      <c r="B92" s="309"/>
      <c r="C92" s="77"/>
      <c r="D92" s="77"/>
    </row>
    <row r="93" spans="1:4" ht="15.75" x14ac:dyDescent="0.25">
      <c r="A93" s="134"/>
      <c r="B93" s="3"/>
      <c r="C93" s="77"/>
      <c r="D93" s="77"/>
    </row>
    <row r="94" spans="1:4" ht="15.75" hidden="1" x14ac:dyDescent="0.25">
      <c r="A94" s="324" t="s">
        <v>333</v>
      </c>
      <c r="B94" s="324"/>
      <c r="C94" s="135"/>
      <c r="D94" s="77"/>
    </row>
    <row r="95" spans="1:4" ht="15.75" x14ac:dyDescent="0.25">
      <c r="A95" s="77"/>
      <c r="B95" s="3"/>
      <c r="C95" s="77"/>
      <c r="D95" s="77"/>
    </row>
  </sheetData>
  <autoFilter ref="A31:G89" xr:uid="{00000000-0009-0000-0000-000033000000}">
    <filterColumn colId="1">
      <filters>
        <filter val="1 389,13"/>
        <filter val="1 625,00"/>
        <filter val="1 632,48"/>
        <filter val="11 509,89"/>
        <filter val="12 083,49"/>
        <filter val="12 968,43"/>
        <filter val="13 417,01"/>
        <filter val="15 784,47"/>
        <filter val="161 220,50"/>
        <filter val="169 017,59"/>
        <filter val="185 823,47"/>
        <filter val="2 138,57"/>
        <filter val="2 713,07"/>
        <filter val="20 702,90"/>
        <filter val="25 020,54"/>
        <filter val="26 618,95"/>
        <filter val="26 854,32"/>
        <filter val="4 097,18"/>
        <filter val="4 690,96"/>
        <filter val="42 181,29"/>
        <filter val="432 280,87"/>
        <filter val="44 508,78"/>
        <filter val="445 249,30"/>
        <filter val="49 965,18"/>
        <filter val="5 270,22"/>
        <filter val="5 406,65"/>
        <filter val="5 916,05"/>
        <filter val="534 299,16"/>
        <filter val="54 463,65"/>
        <filter val="6 764,69"/>
        <filter val="63 020,90"/>
        <filter val="8 724,33"/>
        <filter val="8 931,28"/>
        <filter val="83 705,35"/>
        <filter val="83 916,58"/>
        <filter val="89 049,86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78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filterMode="1">
    <pageSetUpPr fitToPage="1"/>
  </sheetPr>
  <dimension ref="A1:G95"/>
  <sheetViews>
    <sheetView view="pageBreakPreview" topLeftCell="A42" zoomScale="80" zoomScaleNormal="100" zoomScaleSheetLayoutView="80" workbookViewId="0">
      <selection activeCell="B81" sqref="B81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25" t="s">
        <v>224</v>
      </c>
      <c r="B1" s="325"/>
      <c r="C1" s="77"/>
      <c r="D1" s="77"/>
    </row>
    <row r="2" spans="1:4" ht="16.5" x14ac:dyDescent="0.25">
      <c r="A2" s="326" t="s">
        <v>225</v>
      </c>
      <c r="B2" s="326"/>
      <c r="C2" s="77"/>
      <c r="D2" s="77"/>
    </row>
    <row r="3" spans="1:4" ht="16.5" x14ac:dyDescent="0.25">
      <c r="A3" s="326" t="s">
        <v>226</v>
      </c>
      <c r="B3" s="326"/>
      <c r="C3" s="77"/>
      <c r="D3" s="77"/>
    </row>
    <row r="4" spans="1:4" ht="15.75" x14ac:dyDescent="0.25">
      <c r="A4" s="78" t="s">
        <v>516</v>
      </c>
      <c r="B4" s="78"/>
      <c r="C4" s="77"/>
      <c r="D4" s="77"/>
    </row>
    <row r="5" spans="1:4" ht="15.75" x14ac:dyDescent="0.25">
      <c r="A5" s="78" t="s">
        <v>117</v>
      </c>
      <c r="B5" s="78"/>
      <c r="C5" s="77"/>
      <c r="D5" s="77"/>
    </row>
    <row r="6" spans="1:4" ht="5.25" customHeight="1" x14ac:dyDescent="0.25">
      <c r="A6" s="78"/>
      <c r="B6" s="8"/>
      <c r="C6" s="79"/>
      <c r="D6" s="77"/>
    </row>
    <row r="7" spans="1:4" ht="16.5" thickBot="1" x14ac:dyDescent="0.3">
      <c r="A7" s="80"/>
      <c r="B7" s="8"/>
      <c r="C7" s="79"/>
      <c r="D7" s="77"/>
    </row>
    <row r="8" spans="1:4" ht="15.75" customHeight="1" x14ac:dyDescent="0.2">
      <c r="A8" s="327" t="s">
        <v>227</v>
      </c>
      <c r="B8" s="329" t="s">
        <v>228</v>
      </c>
      <c r="C8" s="331" t="s">
        <v>229</v>
      </c>
      <c r="D8" s="321" t="s">
        <v>230</v>
      </c>
    </row>
    <row r="9" spans="1:4" ht="28.5" customHeight="1" thickBot="1" x14ac:dyDescent="0.25">
      <c r="A9" s="328"/>
      <c r="B9" s="330"/>
      <c r="C9" s="332"/>
      <c r="D9" s="322"/>
    </row>
    <row r="10" spans="1:4" ht="16.5" thickBot="1" x14ac:dyDescent="0.25">
      <c r="A10" s="81" t="s">
        <v>231</v>
      </c>
      <c r="B10" s="302">
        <f>VLOOKUP(A5,мкд!S:T,2,FALSE)</f>
        <v>-139310.31</v>
      </c>
      <c r="C10" s="83"/>
      <c r="D10" s="84"/>
    </row>
    <row r="11" spans="1:4" ht="16.5" hidden="1" thickBot="1" x14ac:dyDescent="0.25">
      <c r="A11" s="85" t="s">
        <v>232</v>
      </c>
      <c r="B11" s="210"/>
      <c r="C11" s="84"/>
      <c r="D11" s="86"/>
    </row>
    <row r="12" spans="1:4" ht="16.5" thickBot="1" x14ac:dyDescent="0.3">
      <c r="A12" s="87" t="s">
        <v>233</v>
      </c>
      <c r="B12" s="217"/>
      <c r="C12" s="89" t="s">
        <v>234</v>
      </c>
      <c r="D12" s="90" t="s">
        <v>234</v>
      </c>
    </row>
    <row r="13" spans="1:4" ht="16.5" hidden="1" thickBot="1" x14ac:dyDescent="0.3">
      <c r="A13" s="91" t="s">
        <v>235</v>
      </c>
      <c r="B13" s="23">
        <v>2016.7</v>
      </c>
      <c r="C13" s="90" t="s">
        <v>234</v>
      </c>
      <c r="D13" s="92" t="s">
        <v>234</v>
      </c>
    </row>
    <row r="14" spans="1:4" ht="16.5" hidden="1" thickBot="1" x14ac:dyDescent="0.3">
      <c r="A14" s="91" t="s">
        <v>236</v>
      </c>
      <c r="B14" s="23">
        <v>473.8</v>
      </c>
      <c r="C14" s="93"/>
      <c r="D14" s="92"/>
    </row>
    <row r="15" spans="1:4" ht="16.5" hidden="1" thickBot="1" x14ac:dyDescent="0.3">
      <c r="A15" s="91" t="s">
        <v>237</v>
      </c>
      <c r="B15" s="23">
        <f>B13+B14</f>
        <v>2490.5</v>
      </c>
      <c r="C15" s="94"/>
      <c r="D15" s="95"/>
    </row>
    <row r="16" spans="1:4" ht="16.5" hidden="1" thickBot="1" x14ac:dyDescent="0.3">
      <c r="A16" s="91" t="s">
        <v>238</v>
      </c>
      <c r="B16" s="23">
        <f>920.1+1406.1/3</f>
        <v>1388.8</v>
      </c>
      <c r="C16" s="96" t="s">
        <v>234</v>
      </c>
      <c r="D16" s="95" t="s">
        <v>234</v>
      </c>
    </row>
    <row r="17" spans="1:7" ht="16.5" hidden="1" thickBot="1" x14ac:dyDescent="0.3">
      <c r="A17" s="91" t="s">
        <v>239</v>
      </c>
      <c r="B17" s="23">
        <v>0</v>
      </c>
      <c r="C17" s="90" t="s">
        <v>234</v>
      </c>
      <c r="D17" s="92" t="s">
        <v>234</v>
      </c>
      <c r="E17" s="77"/>
      <c r="F17" s="77"/>
      <c r="G17" s="77"/>
    </row>
    <row r="18" spans="1:7" ht="16.5" hidden="1" thickBot="1" x14ac:dyDescent="0.3">
      <c r="A18" s="91" t="s">
        <v>240</v>
      </c>
      <c r="B18" s="23">
        <v>0</v>
      </c>
      <c r="C18" s="95" t="s">
        <v>234</v>
      </c>
      <c r="D18" s="92" t="s">
        <v>234</v>
      </c>
      <c r="E18" s="77"/>
      <c r="F18" s="77"/>
      <c r="G18" s="77"/>
    </row>
    <row r="19" spans="1:7" ht="16.5" hidden="1" thickBot="1" x14ac:dyDescent="0.3">
      <c r="A19" s="91" t="s">
        <v>241</v>
      </c>
      <c r="B19" s="23">
        <v>0</v>
      </c>
      <c r="C19" s="95" t="s">
        <v>234</v>
      </c>
      <c r="D19" s="92" t="s">
        <v>234</v>
      </c>
      <c r="E19" s="77"/>
      <c r="F19" s="77"/>
      <c r="G19" s="77"/>
    </row>
    <row r="20" spans="1:7" ht="16.5" hidden="1" thickBot="1" x14ac:dyDescent="0.3">
      <c r="A20" s="91" t="s">
        <v>242</v>
      </c>
      <c r="B20" s="23">
        <v>1369</v>
      </c>
      <c r="C20" s="95"/>
      <c r="D20" s="92"/>
      <c r="E20" s="77"/>
      <c r="F20" s="77"/>
      <c r="G20" s="77"/>
    </row>
    <row r="21" spans="1:7" ht="16.5" hidden="1" thickBot="1" x14ac:dyDescent="0.3">
      <c r="A21" s="91" t="s">
        <v>243</v>
      </c>
      <c r="B21" s="23">
        <v>0</v>
      </c>
      <c r="C21" s="95" t="s">
        <v>234</v>
      </c>
      <c r="D21" s="92" t="s">
        <v>234</v>
      </c>
      <c r="E21" s="77"/>
      <c r="F21" s="77"/>
      <c r="G21" s="77"/>
    </row>
    <row r="22" spans="1:7" ht="16.5" hidden="1" thickBot="1" x14ac:dyDescent="0.3">
      <c r="A22" s="91" t="s">
        <v>244</v>
      </c>
      <c r="B22" s="23">
        <v>125</v>
      </c>
      <c r="C22" s="93"/>
      <c r="D22" s="92"/>
      <c r="E22" s="77"/>
      <c r="F22" s="77"/>
      <c r="G22" s="77"/>
    </row>
    <row r="23" spans="1:7" ht="15.75" x14ac:dyDescent="0.25">
      <c r="A23" s="91"/>
      <c r="B23" s="23"/>
      <c r="C23" s="94"/>
      <c r="D23" s="95"/>
      <c r="E23" s="77"/>
      <c r="F23" s="77"/>
      <c r="G23" s="77"/>
    </row>
    <row r="24" spans="1:7" ht="15.75" x14ac:dyDescent="0.25">
      <c r="A24" s="97" t="s">
        <v>319</v>
      </c>
      <c r="B24" s="28">
        <f>VLOOKUP(A5,[2]Лист1!M$1:N$65536,2,FALSE)</f>
        <v>374789.28</v>
      </c>
      <c r="C24" s="92"/>
      <c r="D24" s="95"/>
      <c r="E24" s="26">
        <v>15.480000016</v>
      </c>
      <c r="F24" s="77"/>
      <c r="G24" s="77"/>
    </row>
    <row r="25" spans="1:7" ht="16.5" thickBot="1" x14ac:dyDescent="0.3">
      <c r="A25" s="97" t="s">
        <v>320</v>
      </c>
      <c r="B25" s="28">
        <f>VLOOKUP(A5,[2]Лист1!M$1:O$65536,3,FALSE)</f>
        <v>365350.86</v>
      </c>
      <c r="C25" s="96"/>
      <c r="D25" s="95"/>
      <c r="E25" s="77"/>
      <c r="F25" s="77"/>
      <c r="G25" s="77"/>
    </row>
    <row r="26" spans="1:7" ht="15.75" x14ac:dyDescent="0.25">
      <c r="A26" s="97" t="s">
        <v>353</v>
      </c>
      <c r="B26" s="28">
        <v>88124.54</v>
      </c>
      <c r="C26" s="90"/>
      <c r="D26" s="92"/>
      <c r="E26" s="77"/>
      <c r="F26" s="77"/>
      <c r="G26" s="77"/>
    </row>
    <row r="27" spans="1:7" ht="16.5" thickBot="1" x14ac:dyDescent="0.3">
      <c r="A27" s="97" t="s">
        <v>354</v>
      </c>
      <c r="B27" s="28">
        <v>68570.880000000005</v>
      </c>
      <c r="C27" s="93"/>
      <c r="D27" s="92"/>
      <c r="E27" s="77"/>
      <c r="F27" s="77"/>
      <c r="G27" s="77"/>
    </row>
    <row r="28" spans="1:7" ht="16.5" thickBot="1" x14ac:dyDescent="0.3">
      <c r="A28" s="97" t="s">
        <v>249</v>
      </c>
      <c r="B28" s="28">
        <v>7611.96</v>
      </c>
      <c r="C28" s="89"/>
      <c r="D28" s="95"/>
      <c r="E28" s="77"/>
      <c r="F28" s="77"/>
      <c r="G28" s="77"/>
    </row>
    <row r="29" spans="1:7" ht="16.5" hidden="1" thickBot="1" x14ac:dyDescent="0.3">
      <c r="A29" s="97" t="s">
        <v>250</v>
      </c>
      <c r="B29" s="28"/>
      <c r="C29" s="98"/>
      <c r="D29" s="92"/>
      <c r="E29" s="77"/>
      <c r="F29" s="77"/>
      <c r="G29" s="77"/>
    </row>
    <row r="30" spans="1:7" ht="15.75" x14ac:dyDescent="0.25">
      <c r="A30" s="99"/>
      <c r="B30" s="23"/>
      <c r="C30" s="94"/>
      <c r="D30" s="95"/>
      <c r="E30" s="77"/>
      <c r="F30" s="77"/>
      <c r="G30" s="77"/>
    </row>
    <row r="31" spans="1:7" ht="15.75" x14ac:dyDescent="0.25">
      <c r="A31" s="100" t="s">
        <v>251</v>
      </c>
      <c r="B31" s="23"/>
      <c r="C31" s="92"/>
      <c r="D31" s="95"/>
      <c r="E31" s="77"/>
      <c r="F31" s="77"/>
      <c r="G31" s="77"/>
    </row>
    <row r="32" spans="1:7" s="103" customFormat="1" ht="31.5" x14ac:dyDescent="0.25">
      <c r="A32" s="101" t="s">
        <v>252</v>
      </c>
      <c r="B32" s="208">
        <f>SUM(B33:B41)</f>
        <v>20702.900016</v>
      </c>
      <c r="C32" s="92"/>
      <c r="D32" s="95"/>
      <c r="E32" s="102">
        <f>(B86-B26-B24)/1.2/1.03</f>
        <v>53054.077925455567</v>
      </c>
      <c r="F32" s="102" t="e">
        <f>(#REF!-#REF!-#REF!)/1.2/1.03</f>
        <v>#REF!</v>
      </c>
      <c r="G32" s="102" t="e">
        <f>(#REF!-#REF!-#REF!)/1.2/1.03</f>
        <v>#REF!</v>
      </c>
    </row>
    <row r="33" spans="1:7" ht="16.5" thickBot="1" x14ac:dyDescent="0.3">
      <c r="A33" s="104" t="s">
        <v>253</v>
      </c>
      <c r="B33" s="23">
        <f>18494.64*1.1194</f>
        <v>20702.900016</v>
      </c>
      <c r="C33" s="96"/>
      <c r="D33" s="95">
        <v>26483.85</v>
      </c>
      <c r="E33" s="77"/>
      <c r="F33" s="77"/>
      <c r="G33" s="77"/>
    </row>
    <row r="34" spans="1:7" ht="16.5" hidden="1" thickBot="1" x14ac:dyDescent="0.3">
      <c r="A34" s="104" t="s">
        <v>322</v>
      </c>
      <c r="B34" s="23"/>
      <c r="C34" s="90"/>
      <c r="D34" s="92">
        <v>0</v>
      </c>
      <c r="E34" s="77"/>
      <c r="F34" s="77"/>
      <c r="G34" s="77"/>
    </row>
    <row r="35" spans="1:7" ht="16.5" hidden="1" thickBot="1" x14ac:dyDescent="0.3">
      <c r="A35" s="104" t="s">
        <v>256</v>
      </c>
      <c r="B35" s="23"/>
      <c r="C35" s="95"/>
      <c r="D35" s="92">
        <v>0</v>
      </c>
      <c r="E35" s="77"/>
      <c r="F35" s="77"/>
      <c r="G35" s="77"/>
    </row>
    <row r="36" spans="1:7" ht="16.5" hidden="1" thickBot="1" x14ac:dyDescent="0.3">
      <c r="A36" s="104" t="s">
        <v>255</v>
      </c>
      <c r="B36" s="23"/>
      <c r="C36" s="95" t="s">
        <v>234</v>
      </c>
      <c r="D36" s="92">
        <v>0</v>
      </c>
      <c r="E36" s="77"/>
      <c r="F36" s="77"/>
      <c r="G36" s="77"/>
    </row>
    <row r="37" spans="1:7" ht="16.5" hidden="1" thickBot="1" x14ac:dyDescent="0.3">
      <c r="A37" s="104" t="s">
        <v>257</v>
      </c>
      <c r="B37" s="23">
        <v>0</v>
      </c>
      <c r="C37" s="95"/>
      <c r="D37" s="92">
        <v>0</v>
      </c>
      <c r="E37" s="77"/>
      <c r="F37" s="77"/>
      <c r="G37" s="77"/>
    </row>
    <row r="38" spans="1:7" ht="16.5" hidden="1" thickBot="1" x14ac:dyDescent="0.3">
      <c r="A38" s="104" t="s">
        <v>258</v>
      </c>
      <c r="B38" s="23">
        <v>0</v>
      </c>
      <c r="C38" s="95"/>
      <c r="D38" s="92">
        <v>0</v>
      </c>
      <c r="E38" s="77"/>
      <c r="F38" s="77"/>
      <c r="G38" s="77"/>
    </row>
    <row r="39" spans="1:7" ht="16.5" hidden="1" thickBot="1" x14ac:dyDescent="0.3">
      <c r="A39" s="104" t="s">
        <v>324</v>
      </c>
      <c r="B39" s="23">
        <v>0</v>
      </c>
      <c r="C39" s="95"/>
      <c r="D39" s="92">
        <v>0</v>
      </c>
      <c r="E39" s="77"/>
      <c r="F39" s="77"/>
      <c r="G39" s="77"/>
    </row>
    <row r="40" spans="1:7" ht="16.5" hidden="1" thickBot="1" x14ac:dyDescent="0.3">
      <c r="A40" s="104" t="s">
        <v>312</v>
      </c>
      <c r="B40" s="23">
        <v>0</v>
      </c>
      <c r="C40" s="95"/>
      <c r="D40" s="92"/>
      <c r="E40" s="77"/>
      <c r="F40" s="77"/>
      <c r="G40" s="77"/>
    </row>
    <row r="41" spans="1:7" ht="16.5" hidden="1" thickBot="1" x14ac:dyDescent="0.3">
      <c r="A41" s="104" t="s">
        <v>313</v>
      </c>
      <c r="B41" s="23">
        <v>0</v>
      </c>
      <c r="C41" s="93"/>
      <c r="D41" s="92"/>
      <c r="E41" s="77"/>
      <c r="F41" s="77"/>
      <c r="G41" s="77"/>
    </row>
    <row r="42" spans="1:7" s="103" customFormat="1" ht="48" thickBot="1" x14ac:dyDescent="0.3">
      <c r="A42" s="101" t="s">
        <v>325</v>
      </c>
      <c r="B42" s="208">
        <f>SUM(B43:B45)</f>
        <v>30283.532181422695</v>
      </c>
      <c r="C42" s="89"/>
      <c r="D42" s="95"/>
      <c r="E42" s="102"/>
      <c r="F42" s="102"/>
      <c r="G42" s="102"/>
    </row>
    <row r="43" spans="1:7" ht="15.75" x14ac:dyDescent="0.25">
      <c r="A43" s="104" t="s">
        <v>262</v>
      </c>
      <c r="B43" s="23">
        <v>13487.390000000009</v>
      </c>
      <c r="C43" s="98"/>
      <c r="D43" s="108"/>
      <c r="E43" s="77"/>
      <c r="F43" s="77"/>
      <c r="G43" s="77"/>
    </row>
    <row r="44" spans="1:7" ht="15.75" x14ac:dyDescent="0.25">
      <c r="A44" s="104" t="s">
        <v>263</v>
      </c>
      <c r="B44" s="23">
        <v>1628.73</v>
      </c>
      <c r="C44" s="93"/>
      <c r="D44" s="108"/>
      <c r="E44" s="77"/>
      <c r="F44" s="77"/>
      <c r="G44" s="77"/>
    </row>
    <row r="45" spans="1:7" ht="16.5" thickBot="1" x14ac:dyDescent="0.3">
      <c r="A45" s="109" t="s">
        <v>264</v>
      </c>
      <c r="B45" s="23">
        <f>('[3]34тарифы'!D163*B15+336.33)*1.1194</f>
        <v>15167.412181422687</v>
      </c>
      <c r="C45" s="93"/>
      <c r="D45" s="108"/>
      <c r="E45" s="77"/>
      <c r="F45" s="77"/>
      <c r="G45" s="77"/>
    </row>
    <row r="46" spans="1:7" s="79" customFormat="1" ht="16.5" thickBot="1" x14ac:dyDescent="0.3">
      <c r="A46" s="101" t="s">
        <v>265</v>
      </c>
      <c r="B46" s="208">
        <f>SUM(B48:B63)</f>
        <v>47724.93</v>
      </c>
      <c r="C46" s="89"/>
      <c r="D46" s="95"/>
    </row>
    <row r="47" spans="1:7" ht="15.75" hidden="1" x14ac:dyDescent="0.25">
      <c r="A47" s="104" t="s">
        <v>326</v>
      </c>
      <c r="B47" s="23">
        <v>0</v>
      </c>
      <c r="C47" s="90"/>
      <c r="D47" s="92"/>
      <c r="E47" s="77" t="s">
        <v>267</v>
      </c>
      <c r="F47" s="77"/>
      <c r="G47" s="77"/>
    </row>
    <row r="48" spans="1:7" ht="15.75" x14ac:dyDescent="0.25">
      <c r="A48" s="104" t="s">
        <v>317</v>
      </c>
      <c r="B48" s="229">
        <v>1640.16</v>
      </c>
      <c r="C48" s="95"/>
      <c r="D48" s="92"/>
      <c r="E48" s="77" t="s">
        <v>269</v>
      </c>
      <c r="F48" s="77"/>
      <c r="G48" s="77"/>
    </row>
    <row r="49" spans="1:5" ht="15.75" x14ac:dyDescent="0.25">
      <c r="A49" s="110" t="s">
        <v>282</v>
      </c>
      <c r="B49" s="23">
        <v>72.58</v>
      </c>
      <c r="C49" s="95"/>
      <c r="D49" s="92"/>
      <c r="E49" s="77"/>
    </row>
    <row r="50" spans="1:5" ht="15.75" hidden="1" x14ac:dyDescent="0.25">
      <c r="A50" s="110" t="s">
        <v>271</v>
      </c>
      <c r="B50" s="23">
        <v>0</v>
      </c>
      <c r="C50" s="95"/>
      <c r="D50" s="92">
        <v>4190</v>
      </c>
      <c r="E50" s="77"/>
    </row>
    <row r="51" spans="1:5" ht="15.75" hidden="1" x14ac:dyDescent="0.25">
      <c r="A51" s="110" t="s">
        <v>348</v>
      </c>
      <c r="B51" s="23"/>
      <c r="C51" s="95"/>
      <c r="D51" s="92"/>
      <c r="E51" s="77"/>
    </row>
    <row r="52" spans="1:5" ht="15.75" hidden="1" x14ac:dyDescent="0.25">
      <c r="A52" s="110" t="s">
        <v>273</v>
      </c>
      <c r="B52" s="23">
        <f>B21*'[3]34тарифы'!D177</f>
        <v>0</v>
      </c>
      <c r="C52" s="95"/>
      <c r="D52" s="92">
        <v>105.14</v>
      </c>
      <c r="E52" s="77"/>
    </row>
    <row r="53" spans="1:5" ht="15.75" x14ac:dyDescent="0.25">
      <c r="A53" s="110" t="s">
        <v>497</v>
      </c>
      <c r="B53" s="23">
        <v>6100</v>
      </c>
      <c r="C53" s="95">
        <v>0</v>
      </c>
      <c r="D53" s="92">
        <v>522.99</v>
      </c>
      <c r="E53" s="77"/>
    </row>
    <row r="54" spans="1:5" ht="15.75" hidden="1" x14ac:dyDescent="0.25">
      <c r="A54" s="143" t="s">
        <v>350</v>
      </c>
      <c r="B54" s="23"/>
      <c r="C54" s="95">
        <v>1</v>
      </c>
      <c r="D54" s="111">
        <v>657.53</v>
      </c>
      <c r="E54" s="77"/>
    </row>
    <row r="55" spans="1:5" ht="15.75" hidden="1" x14ac:dyDescent="0.25">
      <c r="A55" s="110" t="s">
        <v>276</v>
      </c>
      <c r="B55" s="23">
        <v>0</v>
      </c>
      <c r="C55" s="95"/>
      <c r="D55" s="111"/>
      <c r="E55" s="77"/>
    </row>
    <row r="56" spans="1:5" ht="15.75" hidden="1" x14ac:dyDescent="0.25">
      <c r="A56" s="110" t="s">
        <v>277</v>
      </c>
      <c r="B56" s="23">
        <v>0</v>
      </c>
      <c r="C56" s="95">
        <v>0</v>
      </c>
      <c r="D56" s="92">
        <f>10695.76/1.18</f>
        <v>9064.203389830509</v>
      </c>
      <c r="E56" s="77"/>
    </row>
    <row r="57" spans="1:5" ht="15.75" hidden="1" x14ac:dyDescent="0.25">
      <c r="A57" s="110" t="s">
        <v>314</v>
      </c>
      <c r="B57" s="23">
        <v>0</v>
      </c>
      <c r="C57" s="95">
        <v>0</v>
      </c>
      <c r="D57" s="92">
        <f>2300/1.18</f>
        <v>1949.1525423728815</v>
      </c>
      <c r="E57" s="77"/>
    </row>
    <row r="58" spans="1:5" ht="15.75" hidden="1" x14ac:dyDescent="0.25">
      <c r="A58" s="110" t="s">
        <v>315</v>
      </c>
      <c r="B58" s="23">
        <v>0</v>
      </c>
      <c r="C58" s="93">
        <v>0</v>
      </c>
      <c r="D58" s="92">
        <v>0</v>
      </c>
      <c r="E58" s="77"/>
    </row>
    <row r="59" spans="1:5" ht="16.5" hidden="1" thickBot="1" x14ac:dyDescent="0.3">
      <c r="A59" s="110" t="s">
        <v>279</v>
      </c>
      <c r="B59" s="23">
        <f>B13*'[3]34тарифы'!D184</f>
        <v>0</v>
      </c>
      <c r="C59" s="89"/>
      <c r="D59" s="95"/>
      <c r="E59" s="77"/>
    </row>
    <row r="60" spans="1:5" ht="15.75" hidden="1" x14ac:dyDescent="0.25">
      <c r="A60" s="104" t="s">
        <v>280</v>
      </c>
      <c r="B60" s="23">
        <v>0</v>
      </c>
      <c r="C60" s="90"/>
      <c r="D60" s="92"/>
      <c r="E60" s="77"/>
    </row>
    <row r="61" spans="1:5" ht="15.75" x14ac:dyDescent="0.25">
      <c r="A61" s="104" t="s">
        <v>542</v>
      </c>
      <c r="B61" s="23">
        <v>4200</v>
      </c>
      <c r="C61" s="95"/>
      <c r="D61" s="92">
        <v>0</v>
      </c>
      <c r="E61" s="77"/>
    </row>
    <row r="62" spans="1:5" ht="15.75" x14ac:dyDescent="0.25">
      <c r="A62" s="104" t="s">
        <v>412</v>
      </c>
      <c r="B62" s="23">
        <v>0</v>
      </c>
      <c r="C62" s="95"/>
      <c r="D62" s="92">
        <v>0</v>
      </c>
      <c r="E62" s="77"/>
    </row>
    <row r="63" spans="1:5" ht="16.5" thickBot="1" x14ac:dyDescent="0.3">
      <c r="A63" s="104" t="s">
        <v>341</v>
      </c>
      <c r="B63" s="229">
        <v>35712.19</v>
      </c>
      <c r="C63" s="113">
        <v>0</v>
      </c>
      <c r="D63" s="92">
        <v>0</v>
      </c>
      <c r="E63" s="77">
        <v>0</v>
      </c>
    </row>
    <row r="64" spans="1:5" ht="16.5" hidden="1" thickBot="1" x14ac:dyDescent="0.3">
      <c r="A64" s="104" t="s">
        <v>284</v>
      </c>
      <c r="B64" s="229">
        <v>0</v>
      </c>
      <c r="C64" s="114">
        <v>52</v>
      </c>
      <c r="D64" s="95">
        <v>2</v>
      </c>
      <c r="E64" s="77">
        <v>1</v>
      </c>
    </row>
    <row r="65" spans="1:4" s="79" customFormat="1" ht="16.5" hidden="1" thickBot="1" x14ac:dyDescent="0.3">
      <c r="A65" s="104" t="s">
        <v>285</v>
      </c>
      <c r="B65" s="229">
        <v>0</v>
      </c>
      <c r="C65" s="115"/>
      <c r="D65" s="108">
        <v>0</v>
      </c>
    </row>
    <row r="66" spans="1:4" s="79" customFormat="1" ht="16.5" thickBot="1" x14ac:dyDescent="0.3">
      <c r="A66" s="116" t="s">
        <v>286</v>
      </c>
      <c r="B66" s="208">
        <f>SUM(B67:B74)</f>
        <v>160510.64488880991</v>
      </c>
      <c r="C66" s="89"/>
      <c r="D66" s="93"/>
    </row>
    <row r="67" spans="1:4" ht="16.5" hidden="1" thickBot="1" x14ac:dyDescent="0.3">
      <c r="A67" s="104" t="s">
        <v>287</v>
      </c>
      <c r="B67" s="23">
        <v>0</v>
      </c>
      <c r="C67" s="98"/>
      <c r="D67" s="108"/>
    </row>
    <row r="68" spans="1:4" ht="16.5" thickBot="1" x14ac:dyDescent="0.3">
      <c r="A68" s="104" t="s">
        <v>288</v>
      </c>
      <c r="B68" s="23">
        <f>50545*1.04*1.1194</f>
        <v>58843.27592</v>
      </c>
      <c r="C68" s="89"/>
      <c r="D68" s="93"/>
    </row>
    <row r="69" spans="1:4" ht="15.75" hidden="1" x14ac:dyDescent="0.25">
      <c r="A69" s="104" t="s">
        <v>289</v>
      </c>
      <c r="B69" s="23">
        <v>0</v>
      </c>
      <c r="C69" s="98"/>
      <c r="D69" s="108"/>
    </row>
    <row r="70" spans="1:4" ht="16.5" thickBot="1" x14ac:dyDescent="0.3">
      <c r="A70" s="109" t="s">
        <v>290</v>
      </c>
      <c r="B70" s="23">
        <f>'[3]34тарифы'!D164*B13*1.1194</f>
        <v>2488.8241825634727</v>
      </c>
      <c r="C70" s="93"/>
      <c r="D70" s="108"/>
    </row>
    <row r="71" spans="1:4" ht="15.75" x14ac:dyDescent="0.25">
      <c r="A71" s="109" t="s">
        <v>291</v>
      </c>
      <c r="B71" s="23">
        <f>VLOOKUP(A71,[2]Лист1!S$1:T$65536,2,FALSE)*B15</f>
        <v>11518.325489486249</v>
      </c>
      <c r="C71" s="117"/>
      <c r="D71" s="93"/>
    </row>
    <row r="72" spans="1:4" ht="15.75" x14ac:dyDescent="0.25">
      <c r="A72" s="109" t="s">
        <v>292</v>
      </c>
      <c r="B72" s="23">
        <f>VLOOKUP(A72,[2]Лист1!S$1:T$65536,2,FALSE)*B15</f>
        <v>40208.405536760183</v>
      </c>
      <c r="C72" s="108"/>
      <c r="D72" s="93"/>
    </row>
    <row r="73" spans="1:4" ht="15.75" x14ac:dyDescent="0.25">
      <c r="A73" s="41" t="s">
        <v>293</v>
      </c>
      <c r="B73" s="23">
        <f>4316*1.04*1.1194</f>
        <v>5024.5836159999999</v>
      </c>
      <c r="C73" s="108"/>
      <c r="D73" s="93"/>
    </row>
    <row r="74" spans="1:4" ht="15.75" x14ac:dyDescent="0.25">
      <c r="A74" s="109" t="s">
        <v>294</v>
      </c>
      <c r="B74" s="23">
        <f>36444*1.04*1.1194</f>
        <v>42427.230144000001</v>
      </c>
      <c r="C74" s="108"/>
      <c r="D74" s="93"/>
    </row>
    <row r="75" spans="1:4" ht="47.25" x14ac:dyDescent="0.25">
      <c r="A75" s="118" t="s">
        <v>328</v>
      </c>
      <c r="B75" s="208">
        <f>SUM(B76:B76)</f>
        <v>68596.274905243539</v>
      </c>
      <c r="C75" s="108"/>
      <c r="D75" s="93"/>
    </row>
    <row r="76" spans="1:4" ht="15.75" x14ac:dyDescent="0.25">
      <c r="A76" s="109" t="s">
        <v>296</v>
      </c>
      <c r="B76" s="23">
        <f>'[3]34ОЭР'!D142*1.1194</f>
        <v>68596.274905243539</v>
      </c>
      <c r="C76" s="108"/>
      <c r="D76" s="93"/>
    </row>
    <row r="77" spans="1:4" s="79" customFormat="1" ht="15.75" x14ac:dyDescent="0.25">
      <c r="A77" s="116" t="s">
        <v>297</v>
      </c>
      <c r="B77" s="208">
        <f>SUM(B78:B81)</f>
        <v>99761.540270548969</v>
      </c>
      <c r="C77" s="108"/>
      <c r="D77" s="93"/>
    </row>
    <row r="78" spans="1:4" ht="32.25" thickBot="1" x14ac:dyDescent="0.3">
      <c r="A78" s="119" t="s">
        <v>329</v>
      </c>
      <c r="B78" s="23">
        <f>'[3]34тарифы'!D170*B15*1.1194</f>
        <v>60073.320257303822</v>
      </c>
      <c r="C78" s="96"/>
      <c r="D78" s="93"/>
    </row>
    <row r="79" spans="1:4" ht="16.5" thickBot="1" x14ac:dyDescent="0.3">
      <c r="A79" s="51" t="s">
        <v>299</v>
      </c>
      <c r="B79" s="23">
        <f>(B26/1.2)*30%</f>
        <v>22031.134999999998</v>
      </c>
      <c r="C79" s="98"/>
      <c r="D79" s="108"/>
    </row>
    <row r="80" spans="1:4" ht="15.75" x14ac:dyDescent="0.25">
      <c r="A80" s="120" t="s">
        <v>330</v>
      </c>
      <c r="B80" s="23">
        <f>6531.3+6695.05</f>
        <v>13226.35</v>
      </c>
      <c r="C80" s="117"/>
      <c r="D80" s="93"/>
    </row>
    <row r="81" spans="1:4" ht="15.75" x14ac:dyDescent="0.25">
      <c r="A81" s="120" t="s">
        <v>331</v>
      </c>
      <c r="B81" s="23">
        <f>'[3]34тарифы'!D173*B13*1.1194</f>
        <v>4430.735013245142</v>
      </c>
      <c r="C81" s="108"/>
      <c r="D81" s="93"/>
    </row>
    <row r="82" spans="1:4" ht="15.75" x14ac:dyDescent="0.25">
      <c r="A82" s="121" t="s">
        <v>302</v>
      </c>
      <c r="B82" s="28">
        <f>B32+B42+B46+B66+B75+B77</f>
        <v>427579.82226202509</v>
      </c>
      <c r="C82" s="108"/>
      <c r="D82" s="93"/>
    </row>
    <row r="83" spans="1:4" ht="15.75" x14ac:dyDescent="0.25">
      <c r="A83" s="122" t="s">
        <v>303</v>
      </c>
      <c r="B83" s="23">
        <f>B82*0.03</f>
        <v>12827.394667860752</v>
      </c>
      <c r="C83" s="108"/>
      <c r="D83" s="93"/>
    </row>
    <row r="84" spans="1:4" s="103" customFormat="1" ht="15.75" x14ac:dyDescent="0.25">
      <c r="A84" s="123" t="s">
        <v>304</v>
      </c>
      <c r="B84" s="208">
        <f>B82+B83</f>
        <v>440407.21692988585</v>
      </c>
      <c r="C84" s="108"/>
      <c r="D84" s="93"/>
    </row>
    <row r="85" spans="1:4" ht="16.5" thickBot="1" x14ac:dyDescent="0.3">
      <c r="A85" s="124" t="s">
        <v>305</v>
      </c>
      <c r="B85" s="240">
        <f>B84*0.2</f>
        <v>88081.443385977182</v>
      </c>
      <c r="C85" s="108"/>
      <c r="D85" s="93"/>
    </row>
    <row r="86" spans="1:4" s="79" customFormat="1" ht="16.5" thickBot="1" x14ac:dyDescent="0.3">
      <c r="A86" s="125" t="s">
        <v>306</v>
      </c>
      <c r="B86" s="66">
        <f>B84+B85</f>
        <v>528488.66031586309</v>
      </c>
      <c r="C86" s="89"/>
      <c r="D86" s="126"/>
    </row>
    <row r="87" spans="1:4" s="79" customFormat="1" ht="16.5" thickBot="1" x14ac:dyDescent="0.3">
      <c r="A87" s="127" t="s">
        <v>307</v>
      </c>
      <c r="B87" s="296">
        <f>B10+B24+B26+B28+B29-B86</f>
        <v>-197273.19031586306</v>
      </c>
      <c r="C87" s="128"/>
      <c r="D87" s="129"/>
    </row>
    <row r="88" spans="1:4" s="79" customFormat="1" ht="16.5" thickBot="1" x14ac:dyDescent="0.3">
      <c r="A88" s="130" t="s">
        <v>308</v>
      </c>
      <c r="B88" s="66">
        <f>B10+B25+B27+B28+B29-B86</f>
        <v>-226265.27031586308</v>
      </c>
      <c r="C88" s="131"/>
      <c r="D88" s="129"/>
    </row>
    <row r="89" spans="1:4" s="79" customFormat="1" ht="16.5" hidden="1" thickBot="1" x14ac:dyDescent="0.3">
      <c r="A89" s="132" t="s">
        <v>309</v>
      </c>
      <c r="B89" s="66">
        <f>B11+B24-B25</f>
        <v>9438.4200000000419</v>
      </c>
      <c r="C89" s="129"/>
      <c r="D89" s="129"/>
    </row>
    <row r="90" spans="1:4" s="79" customFormat="1" ht="15.75" x14ac:dyDescent="0.25">
      <c r="A90" s="133"/>
      <c r="B90" s="242"/>
      <c r="C90" s="129"/>
      <c r="D90" s="129"/>
    </row>
    <row r="91" spans="1:4" ht="15.75" x14ac:dyDescent="0.25">
      <c r="A91" s="134"/>
      <c r="B91" s="3"/>
      <c r="C91" s="77"/>
      <c r="D91" s="77"/>
    </row>
    <row r="92" spans="1:4" ht="15.75" x14ac:dyDescent="0.25">
      <c r="A92" s="323" t="s">
        <v>332</v>
      </c>
      <c r="B92" s="323"/>
      <c r="C92" s="77"/>
      <c r="D92" s="77"/>
    </row>
    <row r="93" spans="1:4" ht="15.75" x14ac:dyDescent="0.25">
      <c r="A93" s="134"/>
      <c r="B93" s="3"/>
      <c r="C93" s="77"/>
      <c r="D93" s="77"/>
    </row>
    <row r="94" spans="1:4" ht="15.75" hidden="1" x14ac:dyDescent="0.25">
      <c r="A94" s="324" t="s">
        <v>333</v>
      </c>
      <c r="B94" s="324"/>
      <c r="C94" s="135"/>
      <c r="D94" s="77"/>
    </row>
    <row r="95" spans="1:4" ht="15.75" x14ac:dyDescent="0.25">
      <c r="A95" s="77"/>
      <c r="B95" s="3"/>
      <c r="C95" s="77"/>
      <c r="D95" s="77"/>
    </row>
  </sheetData>
  <autoFilter ref="A31:G89" xr:uid="{00000000-0009-0000-0000-000034000000}">
    <filterColumn colId="1">
      <filters>
        <filter val="1 289,91"/>
        <filter val="1 628,73"/>
        <filter val="1 640,16"/>
        <filter val="11 509,89"/>
        <filter val="11 518,33"/>
        <filter val="12 386,15"/>
        <filter val="13 487,39"/>
        <filter val="-139 310,31"/>
        <filter val="15 167,41"/>
        <filter val="160 510,64"/>
        <filter val="-168 302,39"/>
        <filter val="2 488,82"/>
        <filter val="20 702,90"/>
        <filter val="20 825,71"/>
        <filter val="22 031,14"/>
        <filter val="3 804,53"/>
        <filter val="30 283,53"/>
        <filter val="39 548,12"/>
        <filter val="4 430,74"/>
        <filter val="40 208,41"/>
        <filter val="412 871,72"/>
        <filter val="42 427,23"/>
        <filter val="425 257,87"/>
        <filter val="477,93"/>
        <filter val="5 024,58"/>
        <filter val="510 309,44"/>
        <filter val="58 843,28"/>
        <filter val="6 695,05"/>
        <filter val="60 073,32"/>
        <filter val="68 596,27"/>
        <filter val="85 051,57"/>
        <filter val="9 438,42"/>
        <filter val="93 230,24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82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filterMode="1">
    <pageSetUpPr fitToPage="1"/>
  </sheetPr>
  <dimension ref="A1:H95"/>
  <sheetViews>
    <sheetView view="pageBreakPreview" topLeftCell="A33" zoomScale="80" zoomScaleNormal="100" zoomScaleSheetLayoutView="80" workbookViewId="0">
      <selection activeCell="B81" sqref="B81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8" ht="16.5" customHeight="1" x14ac:dyDescent="0.25">
      <c r="A1" s="325" t="s">
        <v>224</v>
      </c>
      <c r="B1" s="325"/>
      <c r="C1" s="77"/>
      <c r="D1" s="77"/>
      <c r="E1" s="77"/>
      <c r="F1" s="77"/>
      <c r="G1" s="77"/>
      <c r="H1" s="77"/>
    </row>
    <row r="2" spans="1:8" ht="16.5" x14ac:dyDescent="0.25">
      <c r="A2" s="326" t="s">
        <v>225</v>
      </c>
      <c r="B2" s="326"/>
      <c r="C2" s="77"/>
      <c r="D2" s="77"/>
      <c r="E2" s="77"/>
      <c r="F2" s="77"/>
      <c r="G2" s="77"/>
      <c r="H2" s="77"/>
    </row>
    <row r="3" spans="1:8" ht="16.5" x14ac:dyDescent="0.25">
      <c r="A3" s="326" t="s">
        <v>226</v>
      </c>
      <c r="B3" s="326"/>
      <c r="C3" s="77"/>
      <c r="D3" s="77"/>
      <c r="E3" s="77"/>
      <c r="F3" s="77"/>
      <c r="G3" s="77"/>
      <c r="H3" s="77"/>
    </row>
    <row r="4" spans="1:8" ht="15.75" x14ac:dyDescent="0.25">
      <c r="A4" s="78" t="s">
        <v>516</v>
      </c>
      <c r="B4" s="78"/>
      <c r="C4" s="77"/>
      <c r="D4" s="77"/>
      <c r="E4" s="77"/>
      <c r="F4" s="77"/>
      <c r="G4" s="77"/>
      <c r="H4" s="77"/>
    </row>
    <row r="5" spans="1:8" ht="15.75" x14ac:dyDescent="0.25">
      <c r="A5" s="78" t="s">
        <v>118</v>
      </c>
      <c r="B5" s="78"/>
      <c r="C5" s="77"/>
      <c r="D5" s="77"/>
      <c r="E5" s="77"/>
      <c r="F5" s="77"/>
      <c r="G5" s="77"/>
      <c r="H5" s="77"/>
    </row>
    <row r="6" spans="1:8" ht="5.25" customHeight="1" x14ac:dyDescent="0.25">
      <c r="A6" s="78"/>
      <c r="B6" s="8"/>
      <c r="C6" s="79"/>
      <c r="D6" s="77"/>
      <c r="E6" s="77"/>
      <c r="F6" s="77"/>
      <c r="G6" s="77"/>
      <c r="H6" s="77"/>
    </row>
    <row r="7" spans="1:8" ht="16.5" thickBot="1" x14ac:dyDescent="0.3">
      <c r="A7" s="80"/>
      <c r="B7" s="8"/>
      <c r="C7" s="79"/>
      <c r="D7" s="77"/>
      <c r="E7" s="77"/>
      <c r="F7" s="77"/>
      <c r="G7" s="77"/>
      <c r="H7" s="77"/>
    </row>
    <row r="8" spans="1:8" ht="15.75" customHeight="1" x14ac:dyDescent="0.25">
      <c r="A8" s="327" t="s">
        <v>227</v>
      </c>
      <c r="B8" s="329" t="s">
        <v>228</v>
      </c>
      <c r="C8" s="331" t="s">
        <v>229</v>
      </c>
      <c r="D8" s="321" t="s">
        <v>230</v>
      </c>
      <c r="E8" s="77"/>
      <c r="F8" s="77"/>
      <c r="G8" s="77"/>
      <c r="H8" s="77"/>
    </row>
    <row r="9" spans="1:8" ht="28.5" customHeight="1" thickBot="1" x14ac:dyDescent="0.3">
      <c r="A9" s="328"/>
      <c r="B9" s="330"/>
      <c r="C9" s="332"/>
      <c r="D9" s="322"/>
      <c r="E9" s="77"/>
      <c r="F9" s="77"/>
      <c r="G9" s="77"/>
      <c r="H9" s="77">
        <v>0</v>
      </c>
    </row>
    <row r="10" spans="1:8" ht="16.5" thickBot="1" x14ac:dyDescent="0.3">
      <c r="A10" s="81" t="s">
        <v>231</v>
      </c>
      <c r="B10" s="302">
        <f>VLOOKUP(A5,мкд!S:T,2,FALSE)</f>
        <v>442995.16</v>
      </c>
      <c r="C10" s="83"/>
      <c r="D10" s="84"/>
      <c r="E10" s="77"/>
      <c r="F10" s="77"/>
      <c r="G10" s="77"/>
      <c r="H10" s="77"/>
    </row>
    <row r="11" spans="1:8" ht="16.5" hidden="1" thickBot="1" x14ac:dyDescent="0.3">
      <c r="A11" s="85" t="s">
        <v>232</v>
      </c>
      <c r="B11" s="210"/>
      <c r="C11" s="84"/>
      <c r="D11" s="86"/>
      <c r="E11" s="77"/>
      <c r="F11" s="77"/>
      <c r="G11" s="77"/>
      <c r="H11" s="77"/>
    </row>
    <row r="12" spans="1:8" ht="16.5" thickBot="1" x14ac:dyDescent="0.3">
      <c r="A12" s="87" t="s">
        <v>233</v>
      </c>
      <c r="B12" s="217"/>
      <c r="C12" s="89" t="s">
        <v>234</v>
      </c>
      <c r="D12" s="90" t="s">
        <v>234</v>
      </c>
      <c r="E12" s="77"/>
      <c r="F12" s="77"/>
      <c r="G12" s="77"/>
      <c r="H12" s="77"/>
    </row>
    <row r="13" spans="1:8" ht="16.5" hidden="1" thickBot="1" x14ac:dyDescent="0.3">
      <c r="A13" s="91" t="s">
        <v>235</v>
      </c>
      <c r="B13" s="23">
        <v>4020.8</v>
      </c>
      <c r="C13" s="90" t="s">
        <v>234</v>
      </c>
      <c r="D13" s="92" t="s">
        <v>234</v>
      </c>
      <c r="E13" s="77"/>
      <c r="F13" s="77"/>
      <c r="G13" s="77"/>
      <c r="H13" s="77"/>
    </row>
    <row r="14" spans="1:8" ht="16.5" hidden="1" thickBot="1" x14ac:dyDescent="0.3">
      <c r="A14" s="91" t="s">
        <v>236</v>
      </c>
      <c r="B14" s="23">
        <v>725.4</v>
      </c>
      <c r="C14" s="93"/>
      <c r="D14" s="92"/>
      <c r="E14" s="77"/>
      <c r="F14" s="77"/>
      <c r="G14" s="77"/>
      <c r="H14" s="77"/>
    </row>
    <row r="15" spans="1:8" ht="15.75" x14ac:dyDescent="0.25">
      <c r="A15" s="91" t="s">
        <v>237</v>
      </c>
      <c r="B15" s="23">
        <f>B13+B14</f>
        <v>4746.2</v>
      </c>
      <c r="C15" s="94"/>
      <c r="D15" s="95"/>
      <c r="E15" s="77"/>
      <c r="F15" s="77"/>
      <c r="G15" s="77"/>
      <c r="H15" s="77"/>
    </row>
    <row r="16" spans="1:8" ht="16.5" thickBot="1" x14ac:dyDescent="0.3">
      <c r="A16" s="91" t="s">
        <v>238</v>
      </c>
      <c r="B16" s="23">
        <f>1369.8+1505.1/3</f>
        <v>1871.5</v>
      </c>
      <c r="C16" s="96" t="s">
        <v>234</v>
      </c>
      <c r="D16" s="95" t="s">
        <v>234</v>
      </c>
      <c r="E16" s="77"/>
      <c r="F16" s="77"/>
      <c r="G16" s="77"/>
      <c r="H16" s="77"/>
    </row>
    <row r="17" spans="1:7" ht="16.5" hidden="1" thickBot="1" x14ac:dyDescent="0.3">
      <c r="A17" s="91" t="s">
        <v>239</v>
      </c>
      <c r="B17" s="23">
        <v>0</v>
      </c>
      <c r="C17" s="90" t="s">
        <v>234</v>
      </c>
      <c r="D17" s="92" t="s">
        <v>234</v>
      </c>
      <c r="E17" s="77"/>
      <c r="F17" s="77"/>
      <c r="G17" s="77"/>
    </row>
    <row r="18" spans="1:7" ht="16.5" hidden="1" thickBot="1" x14ac:dyDescent="0.3">
      <c r="A18" s="91" t="s">
        <v>240</v>
      </c>
      <c r="B18" s="23">
        <v>355.6</v>
      </c>
      <c r="C18" s="95" t="s">
        <v>234</v>
      </c>
      <c r="D18" s="92" t="s">
        <v>234</v>
      </c>
      <c r="E18" s="77"/>
      <c r="F18" s="77"/>
      <c r="G18" s="77"/>
    </row>
    <row r="19" spans="1:7" ht="16.5" hidden="1" thickBot="1" x14ac:dyDescent="0.3">
      <c r="A19" s="91" t="s">
        <v>241</v>
      </c>
      <c r="B19" s="23">
        <v>1111</v>
      </c>
      <c r="C19" s="95" t="s">
        <v>234</v>
      </c>
      <c r="D19" s="92" t="s">
        <v>234</v>
      </c>
      <c r="E19" s="77"/>
      <c r="F19" s="77"/>
      <c r="G19" s="77"/>
    </row>
    <row r="20" spans="1:7" ht="16.5" hidden="1" thickBot="1" x14ac:dyDescent="0.3">
      <c r="A20" s="91" t="s">
        <v>242</v>
      </c>
      <c r="B20" s="23">
        <v>783</v>
      </c>
      <c r="C20" s="95"/>
      <c r="D20" s="92"/>
      <c r="E20" s="77"/>
      <c r="F20" s="77"/>
      <c r="G20" s="77"/>
    </row>
    <row r="21" spans="1:7" ht="16.5" hidden="1" thickBot="1" x14ac:dyDescent="0.3">
      <c r="A21" s="91" t="s">
        <v>243</v>
      </c>
      <c r="B21" s="23">
        <v>2</v>
      </c>
      <c r="C21" s="95" t="s">
        <v>234</v>
      </c>
      <c r="D21" s="92" t="s">
        <v>234</v>
      </c>
      <c r="E21" s="77"/>
      <c r="F21" s="77"/>
      <c r="G21" s="77"/>
    </row>
    <row r="22" spans="1:7" ht="16.5" hidden="1" thickBot="1" x14ac:dyDescent="0.3">
      <c r="A22" s="91" t="s">
        <v>244</v>
      </c>
      <c r="B22" s="23">
        <v>208</v>
      </c>
      <c r="C22" s="93"/>
      <c r="D22" s="92"/>
      <c r="E22" s="77"/>
      <c r="F22" s="77"/>
      <c r="G22" s="77"/>
    </row>
    <row r="23" spans="1:7" ht="15.75" x14ac:dyDescent="0.25">
      <c r="A23" s="91"/>
      <c r="B23" s="23"/>
      <c r="C23" s="94"/>
      <c r="D23" s="95"/>
      <c r="E23" s="77"/>
      <c r="F23" s="77"/>
      <c r="G23" s="77"/>
    </row>
    <row r="24" spans="1:7" ht="15.75" x14ac:dyDescent="0.25">
      <c r="A24" s="97" t="s">
        <v>319</v>
      </c>
      <c r="B24" s="28">
        <f>VLOOKUP(A5,[2]Лист1!M$1:N$65536,2,FALSE)</f>
        <v>968209.22</v>
      </c>
      <c r="C24" s="92"/>
      <c r="D24" s="95"/>
      <c r="E24" s="26">
        <v>19.689999999999998</v>
      </c>
      <c r="F24" s="77"/>
      <c r="G24" s="77"/>
    </row>
    <row r="25" spans="1:7" ht="16.5" thickBot="1" x14ac:dyDescent="0.3">
      <c r="A25" s="97" t="s">
        <v>320</v>
      </c>
      <c r="B25" s="28">
        <f>VLOOKUP(A5,[2]Лист1!M$1:O$65536,3,FALSE)</f>
        <v>932069.77</v>
      </c>
      <c r="C25" s="96"/>
      <c r="D25" s="95"/>
      <c r="E25" s="77"/>
      <c r="F25" s="77"/>
      <c r="G25" s="77"/>
    </row>
    <row r="26" spans="1:7" ht="15.75" x14ac:dyDescent="0.25">
      <c r="A26" s="97" t="s">
        <v>353</v>
      </c>
      <c r="B26" s="28">
        <v>171373.88</v>
      </c>
      <c r="C26" s="90"/>
      <c r="D26" s="92"/>
      <c r="E26" s="77"/>
      <c r="F26" s="77"/>
      <c r="G26" s="77"/>
    </row>
    <row r="27" spans="1:7" ht="16.5" thickBot="1" x14ac:dyDescent="0.3">
      <c r="A27" s="97" t="s">
        <v>354</v>
      </c>
      <c r="B27" s="28">
        <v>177807.44</v>
      </c>
      <c r="C27" s="93"/>
      <c r="D27" s="92"/>
      <c r="E27" s="77"/>
      <c r="F27" s="77"/>
      <c r="G27" s="77"/>
    </row>
    <row r="28" spans="1:7" ht="16.5" thickBot="1" x14ac:dyDescent="0.3">
      <c r="A28" s="97" t="s">
        <v>249</v>
      </c>
      <c r="B28" s="28">
        <v>7611.96</v>
      </c>
      <c r="C28" s="89"/>
      <c r="D28" s="95"/>
      <c r="E28" s="77"/>
      <c r="F28" s="77"/>
      <c r="G28" s="77"/>
    </row>
    <row r="29" spans="1:7" ht="16.5" hidden="1" thickBot="1" x14ac:dyDescent="0.3">
      <c r="A29" s="97" t="s">
        <v>250</v>
      </c>
      <c r="B29" s="28"/>
      <c r="C29" s="98"/>
      <c r="D29" s="92"/>
      <c r="E29" s="77"/>
      <c r="F29" s="77"/>
      <c r="G29" s="77"/>
    </row>
    <row r="30" spans="1:7" ht="15.75" x14ac:dyDescent="0.25">
      <c r="A30" s="99"/>
      <c r="B30" s="23"/>
      <c r="C30" s="94"/>
      <c r="D30" s="95"/>
      <c r="E30" s="77"/>
      <c r="F30" s="77"/>
      <c r="G30" s="77"/>
    </row>
    <row r="31" spans="1:7" ht="15.75" x14ac:dyDescent="0.25">
      <c r="A31" s="100" t="s">
        <v>251</v>
      </c>
      <c r="B31" s="23"/>
      <c r="C31" s="92"/>
      <c r="D31" s="95"/>
      <c r="E31" s="77"/>
      <c r="F31" s="77"/>
      <c r="G31" s="77"/>
    </row>
    <row r="32" spans="1:7" s="103" customFormat="1" ht="31.5" x14ac:dyDescent="0.25">
      <c r="A32" s="101" t="s">
        <v>252</v>
      </c>
      <c r="B32" s="208">
        <f>SUM(B33:B41)</f>
        <v>91641.109945566641</v>
      </c>
      <c r="C32" s="92"/>
      <c r="D32" s="95"/>
      <c r="E32" s="102">
        <f>(B86-B26-B24)/1.2/1.03</f>
        <v>93867.164143842456</v>
      </c>
      <c r="F32" s="102" t="e">
        <f>(#REF!-#REF!-#REF!)/1.2/1.03</f>
        <v>#REF!</v>
      </c>
      <c r="G32" s="102" t="e">
        <f>(#REF!-#REF!-#REF!)/1.2/1.03</f>
        <v>#REF!</v>
      </c>
    </row>
    <row r="33" spans="1:7" ht="16.5" thickBot="1" x14ac:dyDescent="0.3">
      <c r="A33" s="104" t="s">
        <v>253</v>
      </c>
      <c r="B33" s="23">
        <f>32661.98*1.1194</f>
        <v>36561.820412000001</v>
      </c>
      <c r="C33" s="96"/>
      <c r="D33" s="95">
        <v>23019.61</v>
      </c>
      <c r="E33" s="77"/>
      <c r="F33" s="77"/>
      <c r="G33" s="77"/>
    </row>
    <row r="34" spans="1:7" ht="15.75" hidden="1" x14ac:dyDescent="0.25">
      <c r="A34" s="104" t="s">
        <v>322</v>
      </c>
      <c r="B34" s="23"/>
      <c r="C34" s="90"/>
      <c r="D34" s="92">
        <v>0</v>
      </c>
      <c r="E34" s="77"/>
      <c r="F34" s="77"/>
      <c r="G34" s="77"/>
    </row>
    <row r="35" spans="1:7" ht="15.75" x14ac:dyDescent="0.25">
      <c r="A35" s="104" t="s">
        <v>256</v>
      </c>
      <c r="B35" s="23">
        <v>14739.52</v>
      </c>
      <c r="C35" s="95"/>
      <c r="D35" s="92">
        <v>0</v>
      </c>
      <c r="E35" s="77"/>
      <c r="F35" s="77"/>
      <c r="G35" s="77"/>
    </row>
    <row r="36" spans="1:7" ht="15.75" x14ac:dyDescent="0.25">
      <c r="A36" s="104" t="s">
        <v>255</v>
      </c>
      <c r="B36" s="23">
        <v>31122.519533566636</v>
      </c>
      <c r="C36" s="95" t="s">
        <v>234</v>
      </c>
      <c r="D36" s="92">
        <v>0</v>
      </c>
      <c r="E36" s="77"/>
      <c r="F36" s="77"/>
      <c r="G36" s="77"/>
    </row>
    <row r="37" spans="1:7" ht="16.5" thickBot="1" x14ac:dyDescent="0.3">
      <c r="A37" s="104" t="s">
        <v>257</v>
      </c>
      <c r="B37" s="23">
        <v>9217.25</v>
      </c>
      <c r="C37" s="95"/>
      <c r="D37" s="92">
        <v>0</v>
      </c>
      <c r="E37" s="77"/>
      <c r="F37" s="77"/>
      <c r="G37" s="77"/>
    </row>
    <row r="38" spans="1:7" ht="16.5" hidden="1" thickBot="1" x14ac:dyDescent="0.3">
      <c r="A38" s="104" t="s">
        <v>258</v>
      </c>
      <c r="B38" s="23">
        <v>0</v>
      </c>
      <c r="C38" s="95"/>
      <c r="D38" s="92">
        <v>0</v>
      </c>
      <c r="E38" s="77"/>
      <c r="F38" s="77"/>
      <c r="G38" s="77"/>
    </row>
    <row r="39" spans="1:7" ht="16.5" hidden="1" thickBot="1" x14ac:dyDescent="0.3">
      <c r="A39" s="104" t="s">
        <v>324</v>
      </c>
      <c r="B39" s="23">
        <v>0</v>
      </c>
      <c r="C39" s="95"/>
      <c r="D39" s="92">
        <v>0</v>
      </c>
      <c r="E39" s="77"/>
      <c r="F39" s="77"/>
      <c r="G39" s="77"/>
    </row>
    <row r="40" spans="1:7" ht="16.5" hidden="1" thickBot="1" x14ac:dyDescent="0.3">
      <c r="A40" s="104" t="s">
        <v>312</v>
      </c>
      <c r="B40" s="23">
        <v>0</v>
      </c>
      <c r="C40" s="95"/>
      <c r="D40" s="92"/>
      <c r="E40" s="77"/>
      <c r="F40" s="77"/>
      <c r="G40" s="77"/>
    </row>
    <row r="41" spans="1:7" ht="16.5" hidden="1" thickBot="1" x14ac:dyDescent="0.3">
      <c r="A41" s="104" t="s">
        <v>257</v>
      </c>
      <c r="B41" s="23"/>
      <c r="C41" s="93"/>
      <c r="D41" s="92"/>
      <c r="E41" s="77"/>
      <c r="F41" s="77"/>
      <c r="G41" s="77"/>
    </row>
    <row r="42" spans="1:7" s="103" customFormat="1" ht="48" thickBot="1" x14ac:dyDescent="0.3">
      <c r="A42" s="101" t="s">
        <v>325</v>
      </c>
      <c r="B42" s="208">
        <f>SUM(B43:B45)</f>
        <v>71570.781603776471</v>
      </c>
      <c r="C42" s="89"/>
      <c r="D42" s="95"/>
      <c r="E42" s="102"/>
      <c r="F42" s="102"/>
      <c r="G42" s="102"/>
    </row>
    <row r="43" spans="1:7" ht="15.75" x14ac:dyDescent="0.25">
      <c r="A43" s="104" t="s">
        <v>262</v>
      </c>
      <c r="B43" s="23">
        <v>5720.74</v>
      </c>
      <c r="C43" s="98"/>
      <c r="D43" s="108"/>
      <c r="E43" s="77"/>
      <c r="F43" s="77"/>
      <c r="G43" s="77"/>
    </row>
    <row r="44" spans="1:7" ht="15.75" x14ac:dyDescent="0.25">
      <c r="A44" s="104" t="s">
        <v>263</v>
      </c>
      <c r="B44" s="23">
        <v>35546.530466433382</v>
      </c>
      <c r="C44" s="93"/>
      <c r="D44" s="108"/>
      <c r="E44" s="77"/>
      <c r="F44" s="77"/>
      <c r="G44" s="77"/>
    </row>
    <row r="45" spans="1:7" ht="16.5" thickBot="1" x14ac:dyDescent="0.3">
      <c r="A45" s="109" t="s">
        <v>264</v>
      </c>
      <c r="B45" s="23">
        <f>('[3]34тарифы'!D163*B15+1257.85+632.56)*1.1194</f>
        <v>30303.511137343085</v>
      </c>
      <c r="C45" s="93"/>
      <c r="D45" s="108"/>
      <c r="E45" s="77"/>
      <c r="F45" s="77"/>
      <c r="G45" s="77"/>
    </row>
    <row r="46" spans="1:7" s="79" customFormat="1" ht="16.5" thickBot="1" x14ac:dyDescent="0.3">
      <c r="A46" s="101" t="s">
        <v>265</v>
      </c>
      <c r="B46" s="208">
        <f>SUM(B47:B65)</f>
        <v>258559.92999999996</v>
      </c>
      <c r="C46" s="89"/>
      <c r="D46" s="95"/>
    </row>
    <row r="47" spans="1:7" ht="15.75" x14ac:dyDescent="0.25">
      <c r="A47" s="104" t="s">
        <v>326</v>
      </c>
      <c r="B47" s="283">
        <v>1493.52</v>
      </c>
      <c r="C47" s="90"/>
      <c r="D47" s="92"/>
      <c r="E47" s="77" t="s">
        <v>267</v>
      </c>
      <c r="F47" s="77"/>
      <c r="G47" s="77"/>
    </row>
    <row r="48" spans="1:7" ht="15.75" x14ac:dyDescent="0.25">
      <c r="A48" s="104" t="s">
        <v>317</v>
      </c>
      <c r="B48" s="283">
        <v>1813.56</v>
      </c>
      <c r="C48" s="95"/>
      <c r="D48" s="92"/>
      <c r="E48" s="77" t="s">
        <v>269</v>
      </c>
      <c r="F48" s="77"/>
      <c r="G48" s="77"/>
    </row>
    <row r="49" spans="1:5" ht="15.75" x14ac:dyDescent="0.25">
      <c r="A49" s="110" t="s">
        <v>270</v>
      </c>
      <c r="B49" s="283">
        <v>134451.78</v>
      </c>
      <c r="C49" s="95">
        <v>2</v>
      </c>
      <c r="D49" s="92">
        <f>4379.38*2</f>
        <v>8758.76</v>
      </c>
      <c r="E49" s="77"/>
    </row>
    <row r="50" spans="1:5" ht="15.75" x14ac:dyDescent="0.25">
      <c r="A50" s="110" t="s">
        <v>271</v>
      </c>
      <c r="B50" s="283">
        <v>9800</v>
      </c>
      <c r="C50" s="95">
        <v>2</v>
      </c>
      <c r="D50" s="92">
        <v>4190</v>
      </c>
      <c r="E50" s="77">
        <f>D50*C50*12</f>
        <v>100560</v>
      </c>
    </row>
    <row r="51" spans="1:5" ht="15.75" x14ac:dyDescent="0.25">
      <c r="A51" s="110" t="s">
        <v>540</v>
      </c>
      <c r="B51" s="23">
        <v>16371.52</v>
      </c>
      <c r="C51" s="95">
        <v>2</v>
      </c>
      <c r="D51" s="92">
        <v>13973</v>
      </c>
      <c r="E51" s="77"/>
    </row>
    <row r="52" spans="1:5" ht="15.75" hidden="1" x14ac:dyDescent="0.25">
      <c r="A52" s="110" t="s">
        <v>347</v>
      </c>
      <c r="B52" s="23"/>
      <c r="C52" s="95">
        <v>2</v>
      </c>
      <c r="D52" s="92">
        <v>105.14</v>
      </c>
      <c r="E52" s="77"/>
    </row>
    <row r="53" spans="1:5" ht="15.75" hidden="1" x14ac:dyDescent="0.25">
      <c r="A53" s="110" t="s">
        <v>274</v>
      </c>
      <c r="B53" s="23">
        <v>0</v>
      </c>
      <c r="C53" s="95">
        <v>0</v>
      </c>
      <c r="D53" s="92">
        <v>522.99</v>
      </c>
      <c r="E53" s="77"/>
    </row>
    <row r="54" spans="1:5" ht="15.75" x14ac:dyDescent="0.25">
      <c r="A54" s="143" t="s">
        <v>275</v>
      </c>
      <c r="B54" s="283">
        <v>8133.61</v>
      </c>
      <c r="C54" s="95">
        <v>1</v>
      </c>
      <c r="D54" s="111">
        <v>695.13</v>
      </c>
      <c r="E54" s="77"/>
    </row>
    <row r="55" spans="1:5" ht="15.75" x14ac:dyDescent="0.25">
      <c r="A55" s="110" t="s">
        <v>276</v>
      </c>
      <c r="B55" s="23">
        <v>0</v>
      </c>
      <c r="C55" s="95"/>
      <c r="D55" s="111"/>
      <c r="E55" s="77"/>
    </row>
    <row r="56" spans="1:5" ht="15.75" x14ac:dyDescent="0.25">
      <c r="A56" s="110" t="s">
        <v>496</v>
      </c>
      <c r="B56" s="283">
        <v>50400</v>
      </c>
      <c r="C56" s="95">
        <v>0</v>
      </c>
      <c r="D56" s="92">
        <f>10695.76/1.18</f>
        <v>9064.203389830509</v>
      </c>
      <c r="E56" s="77"/>
    </row>
    <row r="57" spans="1:5" ht="16.5" thickBot="1" x14ac:dyDescent="0.3">
      <c r="A57" s="110" t="s">
        <v>542</v>
      </c>
      <c r="B57" s="283">
        <v>4200</v>
      </c>
      <c r="C57" s="95">
        <v>0</v>
      </c>
      <c r="D57" s="92">
        <f>2300/1.18</f>
        <v>1949.1525423728815</v>
      </c>
      <c r="E57" s="77"/>
    </row>
    <row r="58" spans="1:5" ht="16.5" hidden="1" thickBot="1" x14ac:dyDescent="0.3">
      <c r="A58" s="110" t="s">
        <v>315</v>
      </c>
      <c r="B58" s="23">
        <v>0</v>
      </c>
      <c r="C58" s="93">
        <v>0</v>
      </c>
      <c r="D58" s="92">
        <v>0</v>
      </c>
      <c r="E58" s="77"/>
    </row>
    <row r="59" spans="1:5" ht="16.5" thickBot="1" x14ac:dyDescent="0.3">
      <c r="A59" s="110" t="s">
        <v>362</v>
      </c>
      <c r="B59" s="23">
        <f>502.02+18239.05</f>
        <v>18741.07</v>
      </c>
      <c r="C59" s="89"/>
      <c r="D59" s="95"/>
      <c r="E59" s="77"/>
    </row>
    <row r="60" spans="1:5" ht="15.75" hidden="1" x14ac:dyDescent="0.25">
      <c r="A60" s="104" t="s">
        <v>280</v>
      </c>
      <c r="B60" s="23">
        <v>0</v>
      </c>
      <c r="C60" s="90"/>
      <c r="D60" s="92"/>
      <c r="E60" s="77"/>
    </row>
    <row r="61" spans="1:5" ht="15.75" hidden="1" x14ac:dyDescent="0.25">
      <c r="A61" s="104" t="s">
        <v>281</v>
      </c>
      <c r="B61" s="23">
        <v>0</v>
      </c>
      <c r="C61" s="95"/>
      <c r="D61" s="92">
        <v>0</v>
      </c>
      <c r="E61" s="77"/>
    </row>
    <row r="62" spans="1:5" ht="15.75" hidden="1" x14ac:dyDescent="0.25">
      <c r="A62" s="104" t="s">
        <v>395</v>
      </c>
      <c r="B62" s="23"/>
      <c r="C62" s="95"/>
      <c r="D62" s="92">
        <v>0</v>
      </c>
      <c r="E62" s="77"/>
    </row>
    <row r="63" spans="1:5" ht="16.5" thickBot="1" x14ac:dyDescent="0.3">
      <c r="A63" s="104" t="s">
        <v>341</v>
      </c>
      <c r="B63" s="283">
        <v>13154.87</v>
      </c>
      <c r="C63" s="113">
        <v>1</v>
      </c>
      <c r="D63" s="92">
        <v>0</v>
      </c>
      <c r="E63" s="77"/>
    </row>
    <row r="64" spans="1:5" ht="16.5" hidden="1" thickBot="1" x14ac:dyDescent="0.3">
      <c r="A64" s="104" t="s">
        <v>284</v>
      </c>
      <c r="B64" s="229">
        <v>0</v>
      </c>
      <c r="C64" s="114">
        <v>74</v>
      </c>
      <c r="D64" s="95">
        <v>2</v>
      </c>
      <c r="E64" s="77"/>
    </row>
    <row r="65" spans="1:4" s="79" customFormat="1" ht="16.5" hidden="1" thickBot="1" x14ac:dyDescent="0.3">
      <c r="A65" s="104" t="s">
        <v>285</v>
      </c>
      <c r="B65" s="229">
        <v>0</v>
      </c>
      <c r="C65" s="115"/>
      <c r="D65" s="108">
        <v>0</v>
      </c>
    </row>
    <row r="66" spans="1:4" s="79" customFormat="1" ht="16.5" thickBot="1" x14ac:dyDescent="0.3">
      <c r="A66" s="116" t="s">
        <v>286</v>
      </c>
      <c r="B66" s="208">
        <f>SUM(B67:B74)</f>
        <v>273424.72993268131</v>
      </c>
      <c r="C66" s="89"/>
      <c r="D66" s="93"/>
    </row>
    <row r="67" spans="1:4" ht="16.5" hidden="1" thickBot="1" x14ac:dyDescent="0.3">
      <c r="A67" s="104" t="s">
        <v>287</v>
      </c>
      <c r="B67" s="23">
        <v>0</v>
      </c>
      <c r="C67" s="98"/>
      <c r="D67" s="108"/>
    </row>
    <row r="68" spans="1:4" ht="16.5" thickBot="1" x14ac:dyDescent="0.3">
      <c r="A68" s="104" t="s">
        <v>288</v>
      </c>
      <c r="B68" s="23">
        <f>68251*1.04*1.1194</f>
        <v>79456.176176000008</v>
      </c>
      <c r="C68" s="89"/>
      <c r="D68" s="93"/>
    </row>
    <row r="69" spans="1:4" ht="15.75" hidden="1" x14ac:dyDescent="0.25">
      <c r="A69" s="104" t="s">
        <v>289</v>
      </c>
      <c r="B69" s="23">
        <v>0</v>
      </c>
      <c r="C69" s="98"/>
      <c r="D69" s="108"/>
    </row>
    <row r="70" spans="1:4" ht="16.5" thickBot="1" x14ac:dyDescent="0.3">
      <c r="A70" s="109" t="s">
        <v>290</v>
      </c>
      <c r="B70" s="23">
        <f>'[3]34тарифы'!D164*B13*1.1194</f>
        <v>4962.0986132053413</v>
      </c>
      <c r="C70" s="93"/>
      <c r="D70" s="108"/>
    </row>
    <row r="71" spans="1:4" ht="15.75" x14ac:dyDescent="0.25">
      <c r="A71" s="109" t="s">
        <v>291</v>
      </c>
      <c r="B71" s="23">
        <f>VLOOKUP(A71,[2]Лист1!S$1:T$65536,2,FALSE)*B15</f>
        <v>21950.723323910715</v>
      </c>
      <c r="C71" s="117"/>
      <c r="D71" s="93"/>
    </row>
    <row r="72" spans="1:4" ht="15.75" x14ac:dyDescent="0.25">
      <c r="A72" s="109" t="s">
        <v>292</v>
      </c>
      <c r="B72" s="23">
        <f>VLOOKUP(A72,[2]Лист1!S$1:T$65536,2,FALSE)*B15</f>
        <v>76626.032667565218</v>
      </c>
      <c r="C72" s="108"/>
      <c r="D72" s="93"/>
    </row>
    <row r="73" spans="1:4" ht="15.75" x14ac:dyDescent="0.25">
      <c r="A73" s="41" t="s">
        <v>293</v>
      </c>
      <c r="B73" s="23">
        <f>8225*1.04*1.1194</f>
        <v>9575.3475999999991</v>
      </c>
      <c r="C73" s="108"/>
      <c r="D73" s="93"/>
    </row>
    <row r="74" spans="1:4" ht="15.75" x14ac:dyDescent="0.25">
      <c r="A74" s="109" t="s">
        <v>294</v>
      </c>
      <c r="B74" s="23">
        <f>69452*1.04*1.1194</f>
        <v>80854.351551999993</v>
      </c>
      <c r="C74" s="108"/>
      <c r="D74" s="93"/>
    </row>
    <row r="75" spans="1:4" ht="47.25" x14ac:dyDescent="0.25">
      <c r="A75" s="118" t="s">
        <v>328</v>
      </c>
      <c r="B75" s="208">
        <f>SUM(B76:B76)</f>
        <v>136763.97190410233</v>
      </c>
      <c r="C75" s="108"/>
      <c r="D75" s="93"/>
    </row>
    <row r="76" spans="1:4" ht="15.75" x14ac:dyDescent="0.25">
      <c r="A76" s="109" t="s">
        <v>296</v>
      </c>
      <c r="B76" s="23">
        <f>'[3]34ОЭР'!D143*1.1194</f>
        <v>136763.97190410233</v>
      </c>
      <c r="C76" s="108"/>
      <c r="D76" s="93"/>
    </row>
    <row r="77" spans="1:4" s="79" customFormat="1" ht="15.75" x14ac:dyDescent="0.25">
      <c r="A77" s="116" t="s">
        <v>297</v>
      </c>
      <c r="B77" s="208">
        <f>SUM(B78:B81)</f>
        <v>183899.4401104667</v>
      </c>
      <c r="C77" s="108"/>
      <c r="D77" s="93"/>
    </row>
    <row r="78" spans="1:4" ht="32.25" thickBot="1" x14ac:dyDescent="0.3">
      <c r="A78" s="119" t="s">
        <v>329</v>
      </c>
      <c r="B78" s="23">
        <f>'[3]34тарифы'!D170*B15*1.1194</f>
        <v>114483.03256583633</v>
      </c>
      <c r="C78" s="96"/>
      <c r="D78" s="93"/>
    </row>
    <row r="79" spans="1:4" ht="16.5" thickBot="1" x14ac:dyDescent="0.3">
      <c r="A79" s="51" t="s">
        <v>299</v>
      </c>
      <c r="B79" s="23">
        <f>(B26/1.2)*30%</f>
        <v>42843.47</v>
      </c>
      <c r="C79" s="98"/>
      <c r="D79" s="108"/>
    </row>
    <row r="80" spans="1:4" ht="15.75" x14ac:dyDescent="0.25">
      <c r="A80" s="120" t="s">
        <v>330</v>
      </c>
      <c r="B80" s="23">
        <f>10183.61+7555.54</f>
        <v>17739.150000000001</v>
      </c>
      <c r="C80" s="117"/>
      <c r="D80" s="93"/>
    </row>
    <row r="81" spans="1:4" ht="15.75" x14ac:dyDescent="0.25">
      <c r="A81" s="120" t="s">
        <v>331</v>
      </c>
      <c r="B81" s="23">
        <f>'[3]34тарифы'!D173*B13*1.1194</f>
        <v>8833.7875446303697</v>
      </c>
      <c r="C81" s="108"/>
      <c r="D81" s="93"/>
    </row>
    <row r="82" spans="1:4" ht="15.75" x14ac:dyDescent="0.25">
      <c r="A82" s="121" t="s">
        <v>302</v>
      </c>
      <c r="B82" s="28">
        <f>B32+B42+B46+B66+B75+B77</f>
        <v>1015859.9634965934</v>
      </c>
      <c r="C82" s="108"/>
      <c r="D82" s="93"/>
    </row>
    <row r="83" spans="1:4" ht="15.75" x14ac:dyDescent="0.25">
      <c r="A83" s="122" t="s">
        <v>303</v>
      </c>
      <c r="B83" s="23">
        <f>B82*0.03</f>
        <v>30475.798904897802</v>
      </c>
      <c r="C83" s="108"/>
      <c r="D83" s="93"/>
    </row>
    <row r="84" spans="1:4" s="103" customFormat="1" ht="15.75" x14ac:dyDescent="0.25">
      <c r="A84" s="123" t="s">
        <v>304</v>
      </c>
      <c r="B84" s="208">
        <f>B82+B83</f>
        <v>1046335.7624014912</v>
      </c>
      <c r="C84" s="108"/>
      <c r="D84" s="93"/>
    </row>
    <row r="85" spans="1:4" ht="16.5" thickBot="1" x14ac:dyDescent="0.3">
      <c r="A85" s="124" t="s">
        <v>305</v>
      </c>
      <c r="B85" s="240">
        <f>B84*0.2</f>
        <v>209267.15248029825</v>
      </c>
      <c r="C85" s="108"/>
      <c r="D85" s="93"/>
    </row>
    <row r="86" spans="1:4" s="79" customFormat="1" ht="16.5" thickBot="1" x14ac:dyDescent="0.3">
      <c r="A86" s="125" t="s">
        <v>306</v>
      </c>
      <c r="B86" s="66">
        <f>B84+B85</f>
        <v>1255602.9148817894</v>
      </c>
      <c r="C86" s="89"/>
      <c r="D86" s="126"/>
    </row>
    <row r="87" spans="1:4" s="79" customFormat="1" ht="16.5" thickBot="1" x14ac:dyDescent="0.3">
      <c r="A87" s="127" t="s">
        <v>307</v>
      </c>
      <c r="B87" s="296">
        <f>B10+B24+B26+B28+B29-B86</f>
        <v>334587.30511821038</v>
      </c>
      <c r="C87" s="128"/>
      <c r="D87" s="129"/>
    </row>
    <row r="88" spans="1:4" s="79" customFormat="1" ht="16.5" thickBot="1" x14ac:dyDescent="0.3">
      <c r="A88" s="130" t="s">
        <v>308</v>
      </c>
      <c r="B88" s="66">
        <f>B10+B25+B27+B28+B29-B86</f>
        <v>304881.41511821048</v>
      </c>
      <c r="C88" s="131"/>
      <c r="D88" s="129"/>
    </row>
    <row r="89" spans="1:4" s="79" customFormat="1" ht="16.5" hidden="1" thickBot="1" x14ac:dyDescent="0.3">
      <c r="A89" s="132" t="s">
        <v>309</v>
      </c>
      <c r="B89" s="66"/>
      <c r="C89" s="129"/>
      <c r="D89" s="129"/>
    </row>
    <row r="90" spans="1:4" s="79" customFormat="1" ht="15.75" x14ac:dyDescent="0.25">
      <c r="A90" s="133"/>
      <c r="B90" s="242"/>
      <c r="C90" s="129"/>
      <c r="D90" s="129"/>
    </row>
    <row r="91" spans="1:4" ht="15.75" x14ac:dyDescent="0.25">
      <c r="A91" s="134"/>
      <c r="B91" s="3"/>
      <c r="C91" s="77"/>
      <c r="D91" s="77"/>
    </row>
    <row r="92" spans="1:4" ht="15.75" x14ac:dyDescent="0.25">
      <c r="A92" s="323" t="s">
        <v>332</v>
      </c>
      <c r="B92" s="323"/>
      <c r="C92" s="77"/>
      <c r="D92" s="77"/>
    </row>
    <row r="93" spans="1:4" ht="15.75" x14ac:dyDescent="0.25">
      <c r="A93" s="134"/>
      <c r="B93" s="3"/>
      <c r="C93" s="77"/>
      <c r="D93" s="77"/>
    </row>
    <row r="94" spans="1:4" ht="15.75" hidden="1" x14ac:dyDescent="0.25">
      <c r="A94" s="324" t="s">
        <v>333</v>
      </c>
      <c r="B94" s="324"/>
      <c r="C94" s="135"/>
      <c r="D94" s="77"/>
    </row>
    <row r="95" spans="1:4" ht="15.75" x14ac:dyDescent="0.25">
      <c r="A95" s="77"/>
      <c r="B95" s="3"/>
      <c r="C95" s="77"/>
      <c r="D95" s="77"/>
    </row>
  </sheetData>
  <autoFilter ref="A31:G89" xr:uid="{00000000-0009-0000-0000-000035000000}">
    <filterColumn colId="1">
      <filters>
        <filter val="1 066 562,38"/>
        <filter val="1 098 559,25"/>
        <filter val="1 318 271,10"/>
        <filter val="1 493,52"/>
        <filter val="1 813,56"/>
        <filter val="1 835,64"/>
        <filter val="10 121,31"/>
        <filter val="100 560,00"/>
        <filter val="11 509,89"/>
        <filter val="114 483,03"/>
        <filter val="136 763,97"/>
        <filter val="14 739,52"/>
        <filter val="15 912,00"/>
        <filter val="16 374,81"/>
        <filter val="182 535,10"/>
        <filter val="2 740,00"/>
        <filter val="21 950,72"/>
        <filter val="219 711,85"/>
        <filter val="273 424,73"/>
        <filter val="30 303,51"/>
        <filter val="31 122,52"/>
        <filter val="31 996,87"/>
        <filter val="310 626,69"/>
        <filter val="33 772,51"/>
        <filter val="35 546,53"/>
        <filter val="36 561,82"/>
        <filter val="4 962,10"/>
        <filter val="413 289,27"/>
        <filter val="42 843,47"/>
        <filter val="442 995,16"/>
        <filter val="5 720,74"/>
        <filter val="57 471,16"/>
        <filter val="71 570,78"/>
        <filter val="73 397,10"/>
        <filter val="76 626,03"/>
        <filter val="79 456,18"/>
        <filter val="8 833,79"/>
        <filter val="80 854,35"/>
        <filter val="9 217,25"/>
        <filter val="9 575,35"/>
        <filter val="91 641,11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68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pageSetUpPr fitToPage="1"/>
  </sheetPr>
  <dimension ref="A1:G94"/>
  <sheetViews>
    <sheetView view="pageBreakPreview" topLeftCell="A36" zoomScale="75" zoomScaleNormal="100" zoomScaleSheetLayoutView="75" workbookViewId="0">
      <selection activeCell="B78" sqref="B78"/>
    </sheetView>
  </sheetViews>
  <sheetFormatPr defaultRowHeight="15.75" x14ac:dyDescent="0.25"/>
  <cols>
    <col min="1" max="1" width="96.42578125" style="3" customWidth="1"/>
    <col min="2" max="2" width="15" style="3" customWidth="1"/>
    <col min="3" max="4" width="13.85546875" style="3" customWidth="1"/>
    <col min="5" max="5" width="14.140625" style="3" customWidth="1"/>
    <col min="6" max="6" width="11.140625" style="3" customWidth="1"/>
    <col min="7" max="7" width="12.42578125" style="3" bestFit="1" customWidth="1"/>
    <col min="8" max="16384" width="9.140625" style="3"/>
  </cols>
  <sheetData>
    <row r="1" spans="1:4" ht="16.5" customHeight="1" x14ac:dyDescent="0.25">
      <c r="A1" s="313" t="s">
        <v>224</v>
      </c>
      <c r="B1" s="313"/>
    </row>
    <row r="2" spans="1:4" ht="16.5" x14ac:dyDescent="0.25">
      <c r="A2" s="315" t="s">
        <v>225</v>
      </c>
      <c r="B2" s="315"/>
    </row>
    <row r="3" spans="1:4" ht="16.5" x14ac:dyDescent="0.25">
      <c r="A3" s="315" t="s">
        <v>226</v>
      </c>
      <c r="B3" s="315"/>
    </row>
    <row r="4" spans="1:4" x14ac:dyDescent="0.25">
      <c r="A4" s="4" t="s">
        <v>516</v>
      </c>
      <c r="B4" s="4"/>
    </row>
    <row r="5" spans="1:4" x14ac:dyDescent="0.25">
      <c r="A5" s="4" t="s">
        <v>119</v>
      </c>
      <c r="B5" s="4"/>
    </row>
    <row r="6" spans="1:4" ht="5.25" customHeight="1" x14ac:dyDescent="0.25">
      <c r="A6" s="4"/>
      <c r="B6" s="8"/>
      <c r="C6" s="8"/>
    </row>
    <row r="7" spans="1:4" ht="16.5" thickBot="1" x14ac:dyDescent="0.3">
      <c r="A7" s="9"/>
      <c r="B7" s="8"/>
      <c r="C7" s="8"/>
    </row>
    <row r="8" spans="1:4" ht="15.75" customHeight="1" x14ac:dyDescent="0.25">
      <c r="A8" s="335" t="s">
        <v>227</v>
      </c>
      <c r="B8" s="337" t="s">
        <v>228</v>
      </c>
      <c r="C8" s="307" t="s">
        <v>229</v>
      </c>
      <c r="D8" s="307" t="s">
        <v>230</v>
      </c>
    </row>
    <row r="9" spans="1:4" ht="28.5" customHeight="1" thickBot="1" x14ac:dyDescent="0.3">
      <c r="A9" s="336"/>
      <c r="B9" s="338"/>
      <c r="C9" s="308"/>
      <c r="D9" s="308"/>
    </row>
    <row r="10" spans="1:4" s="212" customFormat="1" ht="16.5" thickBot="1" x14ac:dyDescent="0.3">
      <c r="A10" s="209" t="s">
        <v>231</v>
      </c>
      <c r="B10" s="302">
        <f>VLOOKUP(A5,мкд!S:T,2,FALSE)</f>
        <v>-657957.75156197976</v>
      </c>
      <c r="C10" s="211"/>
      <c r="D10" s="211"/>
    </row>
    <row r="11" spans="1:4" s="212" customFormat="1" ht="16.5" hidden="1" thickBot="1" x14ac:dyDescent="0.3">
      <c r="A11" s="213" t="s">
        <v>232</v>
      </c>
      <c r="B11" s="214"/>
      <c r="C11" s="215"/>
      <c r="D11" s="215"/>
    </row>
    <row r="12" spans="1:4" x14ac:dyDescent="0.25">
      <c r="A12" s="216" t="s">
        <v>233</v>
      </c>
      <c r="B12" s="217"/>
      <c r="C12" s="17" t="s">
        <v>234</v>
      </c>
      <c r="D12" s="18" t="s">
        <v>234</v>
      </c>
    </row>
    <row r="13" spans="1:4" hidden="1" x14ac:dyDescent="0.25">
      <c r="A13" s="19" t="s">
        <v>235</v>
      </c>
      <c r="B13" s="20">
        <v>7462.3</v>
      </c>
      <c r="C13" s="21" t="s">
        <v>234</v>
      </c>
      <c r="D13" s="22" t="s">
        <v>234</v>
      </c>
    </row>
    <row r="14" spans="1:4" hidden="1" x14ac:dyDescent="0.25">
      <c r="A14" s="19" t="s">
        <v>236</v>
      </c>
      <c r="B14" s="20">
        <v>2365.1</v>
      </c>
      <c r="C14" s="21"/>
      <c r="D14" s="22"/>
    </row>
    <row r="15" spans="1:4" x14ac:dyDescent="0.25">
      <c r="A15" s="219" t="s">
        <v>237</v>
      </c>
      <c r="B15" s="23">
        <f>B13+B14</f>
        <v>9827.4</v>
      </c>
      <c r="C15" s="21"/>
      <c r="D15" s="22"/>
    </row>
    <row r="16" spans="1:4" x14ac:dyDescent="0.25">
      <c r="A16" s="219" t="s">
        <v>238</v>
      </c>
      <c r="B16" s="23">
        <f>3853.9+2866.02/3</f>
        <v>4809.24</v>
      </c>
      <c r="C16" s="21" t="s">
        <v>234</v>
      </c>
      <c r="D16" s="22" t="s">
        <v>234</v>
      </c>
    </row>
    <row r="17" spans="1:7" hidden="1" x14ac:dyDescent="0.25">
      <c r="A17" s="19" t="s">
        <v>239</v>
      </c>
      <c r="B17" s="20">
        <v>0</v>
      </c>
      <c r="C17" s="21" t="s">
        <v>234</v>
      </c>
      <c r="D17" s="22" t="s">
        <v>234</v>
      </c>
    </row>
    <row r="18" spans="1:7" hidden="1" x14ac:dyDescent="0.25">
      <c r="A18" s="19" t="s">
        <v>240</v>
      </c>
      <c r="B18" s="20">
        <v>2752.7</v>
      </c>
      <c r="C18" s="21" t="s">
        <v>234</v>
      </c>
      <c r="D18" s="22" t="s">
        <v>234</v>
      </c>
    </row>
    <row r="19" spans="1:7" hidden="1" x14ac:dyDescent="0.25">
      <c r="A19" s="19" t="s">
        <v>241</v>
      </c>
      <c r="B19" s="20">
        <v>0</v>
      </c>
      <c r="C19" s="21" t="s">
        <v>234</v>
      </c>
      <c r="D19" s="22" t="s">
        <v>234</v>
      </c>
    </row>
    <row r="20" spans="1:7" hidden="1" x14ac:dyDescent="0.25">
      <c r="A20" s="19" t="s">
        <v>242</v>
      </c>
      <c r="B20" s="20">
        <v>3266</v>
      </c>
      <c r="C20" s="21"/>
      <c r="D20" s="22"/>
    </row>
    <row r="21" spans="1:7" hidden="1" x14ac:dyDescent="0.25">
      <c r="A21" s="19" t="s">
        <v>243</v>
      </c>
      <c r="B21" s="20">
        <v>0</v>
      </c>
      <c r="C21" s="21" t="s">
        <v>234</v>
      </c>
      <c r="D21" s="22" t="s">
        <v>234</v>
      </c>
    </row>
    <row r="22" spans="1:7" hidden="1" x14ac:dyDescent="0.25">
      <c r="A22" s="19" t="s">
        <v>244</v>
      </c>
      <c r="B22" s="20">
        <v>410</v>
      </c>
      <c r="C22" s="21"/>
      <c r="D22" s="22"/>
    </row>
    <row r="23" spans="1:7" x14ac:dyDescent="0.25">
      <c r="A23" s="219"/>
      <c r="B23" s="23"/>
      <c r="C23" s="21"/>
      <c r="D23" s="22"/>
    </row>
    <row r="24" spans="1:7" x14ac:dyDescent="0.25">
      <c r="A24" s="220" t="s">
        <v>319</v>
      </c>
      <c r="B24" s="28">
        <f>VLOOKUP(A5,'[5]Лист  1'!M$1:N$65536,2,FALSE)</f>
        <v>1386013.32</v>
      </c>
      <c r="C24" s="21"/>
      <c r="D24" s="22"/>
      <c r="E24" s="3">
        <v>15.48</v>
      </c>
    </row>
    <row r="25" spans="1:7" x14ac:dyDescent="0.25">
      <c r="A25" s="220" t="s">
        <v>320</v>
      </c>
      <c r="B25" s="28">
        <f>VLOOKUP(A5,'[5]Лист  1'!M$1:O$65536,3,FALSE)</f>
        <v>1407210.88</v>
      </c>
      <c r="C25" s="21"/>
      <c r="D25" s="22"/>
    </row>
    <row r="26" spans="1:7" x14ac:dyDescent="0.25">
      <c r="A26" s="220" t="s">
        <v>353</v>
      </c>
      <c r="B26" s="28">
        <v>418238.64</v>
      </c>
      <c r="C26" s="21"/>
      <c r="D26" s="22"/>
    </row>
    <row r="27" spans="1:7" x14ac:dyDescent="0.25">
      <c r="A27" s="220" t="s">
        <v>354</v>
      </c>
      <c r="B27" s="28">
        <v>428254.86</v>
      </c>
      <c r="C27" s="21"/>
      <c r="D27" s="22"/>
    </row>
    <row r="28" spans="1:7" x14ac:dyDescent="0.25">
      <c r="A28" s="220" t="s">
        <v>399</v>
      </c>
      <c r="B28" s="28">
        <v>9290.0400000000009</v>
      </c>
      <c r="C28" s="21"/>
      <c r="D28" s="22"/>
    </row>
    <row r="29" spans="1:7" hidden="1" x14ac:dyDescent="0.25">
      <c r="A29" s="220" t="s">
        <v>250</v>
      </c>
      <c r="B29" s="23"/>
      <c r="C29" s="21"/>
      <c r="D29" s="22"/>
    </row>
    <row r="30" spans="1:7" x14ac:dyDescent="0.25">
      <c r="A30" s="221"/>
      <c r="B30" s="23"/>
      <c r="C30" s="21"/>
      <c r="D30" s="22"/>
    </row>
    <row r="31" spans="1:7" x14ac:dyDescent="0.25">
      <c r="A31" s="222" t="s">
        <v>251</v>
      </c>
      <c r="B31" s="23"/>
      <c r="C31" s="21"/>
      <c r="D31" s="22"/>
    </row>
    <row r="32" spans="1:7" s="34" customFormat="1" ht="31.5" x14ac:dyDescent="0.25">
      <c r="A32" s="223" t="s">
        <v>252</v>
      </c>
      <c r="B32" s="208">
        <f>SUM(B33:B38)</f>
        <v>495391.41000000003</v>
      </c>
      <c r="C32" s="21"/>
      <c r="D32" s="22"/>
      <c r="E32" s="33">
        <f>(B83-B24-B26)/1.2/1.03</f>
        <v>532450.9930113107</v>
      </c>
      <c r="F32" s="33" t="e">
        <f>(#REF!-#REF!-#REF!)/1.2/1.03</f>
        <v>#REF!</v>
      </c>
      <c r="G32" s="33" t="e">
        <f>(#REF!-#REF!-#REF!)/1.2/1.03</f>
        <v>#REF!</v>
      </c>
    </row>
    <row r="33" spans="1:7" x14ac:dyDescent="0.25">
      <c r="A33" s="224" t="s">
        <v>253</v>
      </c>
      <c r="B33" s="23">
        <f>45000*1.12</f>
        <v>50400.000000000007</v>
      </c>
      <c r="C33" s="21"/>
      <c r="D33" s="22">
        <v>69094.429999999993</v>
      </c>
    </row>
    <row r="34" spans="1:7" x14ac:dyDescent="0.25">
      <c r="A34" s="225" t="s">
        <v>257</v>
      </c>
      <c r="B34" s="20">
        <v>202651.2</v>
      </c>
      <c r="C34" s="21"/>
      <c r="D34" s="22">
        <v>0</v>
      </c>
    </row>
    <row r="35" spans="1:7" ht="16.5" x14ac:dyDescent="0.25">
      <c r="A35" s="249" t="s">
        <v>439</v>
      </c>
      <c r="B35" s="20">
        <v>129786.89</v>
      </c>
      <c r="C35" s="21"/>
      <c r="D35" s="22">
        <v>0</v>
      </c>
    </row>
    <row r="36" spans="1:7" ht="16.5" x14ac:dyDescent="0.25">
      <c r="A36" s="249" t="s">
        <v>443</v>
      </c>
      <c r="B36" s="23">
        <v>112553.32</v>
      </c>
      <c r="C36" s="21"/>
      <c r="D36" s="22">
        <v>0</v>
      </c>
    </row>
    <row r="37" spans="1:7" hidden="1" x14ac:dyDescent="0.25">
      <c r="A37" s="224" t="s">
        <v>312</v>
      </c>
      <c r="B37" s="20"/>
      <c r="C37" s="21"/>
      <c r="D37" s="22"/>
    </row>
    <row r="38" spans="1:7" hidden="1" x14ac:dyDescent="0.25">
      <c r="A38" s="224" t="s">
        <v>400</v>
      </c>
      <c r="B38" s="23"/>
      <c r="C38" s="21"/>
      <c r="D38" s="22"/>
    </row>
    <row r="39" spans="1:7" s="34" customFormat="1" ht="47.25" x14ac:dyDescent="0.25">
      <c r="A39" s="31" t="s">
        <v>401</v>
      </c>
      <c r="B39" s="32">
        <f>SUM(B40:B42)</f>
        <v>68034.588444917026</v>
      </c>
      <c r="C39" s="21"/>
      <c r="D39" s="22"/>
      <c r="E39" s="33"/>
      <c r="F39" s="33"/>
      <c r="G39" s="33"/>
    </row>
    <row r="40" spans="1:7" x14ac:dyDescent="0.25">
      <c r="A40" s="35" t="s">
        <v>262</v>
      </c>
      <c r="B40" s="20">
        <v>15615.83</v>
      </c>
      <c r="C40" s="39"/>
      <c r="D40" s="40"/>
    </row>
    <row r="41" spans="1:7" x14ac:dyDescent="0.25">
      <c r="A41" s="35" t="s">
        <v>263</v>
      </c>
      <c r="B41" s="23"/>
      <c r="C41" s="39"/>
      <c r="D41" s="40"/>
    </row>
    <row r="42" spans="1:7" x14ac:dyDescent="0.25">
      <c r="A42" s="226" t="s">
        <v>264</v>
      </c>
      <c r="B42" s="23">
        <f>'[6]32тарифы'!D163*B15+279.83</f>
        <v>52418.758444917024</v>
      </c>
      <c r="C42" s="39"/>
      <c r="D42" s="40"/>
    </row>
    <row r="43" spans="1:7" s="8" customFormat="1" x14ac:dyDescent="0.25">
      <c r="A43" s="31" t="s">
        <v>265</v>
      </c>
      <c r="B43" s="208">
        <f>SUM(B44:B62)</f>
        <v>197740.94999999998</v>
      </c>
      <c r="C43" s="21"/>
      <c r="D43" s="22"/>
    </row>
    <row r="44" spans="1:7" x14ac:dyDescent="0.25">
      <c r="A44" s="35" t="s">
        <v>326</v>
      </c>
      <c r="B44" s="23">
        <v>11561.4</v>
      </c>
      <c r="C44" s="21"/>
      <c r="D44" s="22"/>
      <c r="E44" s="3" t="s">
        <v>267</v>
      </c>
    </row>
    <row r="45" spans="1:7" x14ac:dyDescent="0.25">
      <c r="A45" s="224" t="s">
        <v>317</v>
      </c>
      <c r="B45" s="23">
        <v>14083.8</v>
      </c>
      <c r="C45" s="21"/>
      <c r="D45" s="22"/>
      <c r="E45" s="3" t="s">
        <v>269</v>
      </c>
    </row>
    <row r="46" spans="1:7" hidden="1" x14ac:dyDescent="0.25">
      <c r="A46" s="42" t="s">
        <v>270</v>
      </c>
      <c r="B46" s="23">
        <v>0</v>
      </c>
      <c r="C46" s="21"/>
      <c r="D46" s="22"/>
    </row>
    <row r="47" spans="1:7" hidden="1" x14ac:dyDescent="0.25">
      <c r="A47" s="42" t="s">
        <v>380</v>
      </c>
      <c r="B47" s="23">
        <v>0</v>
      </c>
      <c r="C47" s="21"/>
      <c r="D47" s="22"/>
    </row>
    <row r="48" spans="1:7" hidden="1" x14ac:dyDescent="0.25">
      <c r="A48" s="42" t="s">
        <v>316</v>
      </c>
      <c r="B48" s="23"/>
      <c r="C48" s="21"/>
      <c r="D48" s="22"/>
      <c r="E48" s="3">
        <v>41790.089999999997</v>
      </c>
    </row>
    <row r="49" spans="1:5" x14ac:dyDescent="0.25">
      <c r="A49" s="143" t="s">
        <v>444</v>
      </c>
      <c r="B49" s="23">
        <v>12600</v>
      </c>
      <c r="C49" s="21"/>
      <c r="D49" s="22">
        <v>105.14</v>
      </c>
    </row>
    <row r="50" spans="1:5" x14ac:dyDescent="0.25">
      <c r="A50" s="228" t="s">
        <v>274</v>
      </c>
      <c r="B50" s="20">
        <v>72000</v>
      </c>
      <c r="C50" s="21">
        <v>3</v>
      </c>
      <c r="D50" s="22">
        <v>522.99</v>
      </c>
    </row>
    <row r="51" spans="1:5" hidden="1" x14ac:dyDescent="0.25">
      <c r="A51" s="143" t="s">
        <v>275</v>
      </c>
      <c r="B51" s="23"/>
      <c r="C51" s="21">
        <v>3</v>
      </c>
      <c r="D51" s="44">
        <v>657.53</v>
      </c>
    </row>
    <row r="52" spans="1:5" x14ac:dyDescent="0.25">
      <c r="A52" s="143" t="s">
        <v>549</v>
      </c>
      <c r="B52" s="23">
        <v>0</v>
      </c>
      <c r="C52" s="21"/>
      <c r="D52" s="44"/>
    </row>
    <row r="53" spans="1:5" x14ac:dyDescent="0.25">
      <c r="A53" s="228" t="s">
        <v>380</v>
      </c>
      <c r="B53" s="20">
        <v>30501.66</v>
      </c>
      <c r="C53" s="21">
        <v>0</v>
      </c>
      <c r="D53" s="22">
        <f>10695.76/1.18</f>
        <v>9064.203389830509</v>
      </c>
    </row>
    <row r="54" spans="1:5" hidden="1" x14ac:dyDescent="0.25">
      <c r="A54" s="188" t="s">
        <v>348</v>
      </c>
      <c r="B54" s="20"/>
      <c r="C54" s="21">
        <v>0</v>
      </c>
      <c r="D54" s="22">
        <f>2300/1.18</f>
        <v>1949.1525423728815</v>
      </c>
    </row>
    <row r="55" spans="1:5" hidden="1" x14ac:dyDescent="0.25">
      <c r="A55" s="143" t="s">
        <v>346</v>
      </c>
      <c r="B55" s="23"/>
      <c r="C55" s="21">
        <v>0</v>
      </c>
      <c r="D55" s="22">
        <v>0</v>
      </c>
      <c r="E55" s="227">
        <f>B77+B43+891.14+7942.83</f>
        <v>235860.62</v>
      </c>
    </row>
    <row r="56" spans="1:5" hidden="1" x14ac:dyDescent="0.25">
      <c r="A56" s="143" t="s">
        <v>279</v>
      </c>
      <c r="B56" s="23">
        <v>0</v>
      </c>
      <c r="C56" s="21"/>
      <c r="D56" s="22"/>
    </row>
    <row r="57" spans="1:5" hidden="1" x14ac:dyDescent="0.25">
      <c r="A57" s="35" t="s">
        <v>351</v>
      </c>
      <c r="B57" s="23"/>
      <c r="C57" s="21"/>
      <c r="D57" s="22"/>
    </row>
    <row r="58" spans="1:5" hidden="1" x14ac:dyDescent="0.25">
      <c r="A58" s="187" t="s">
        <v>281</v>
      </c>
      <c r="B58" s="20"/>
      <c r="C58" s="21"/>
      <c r="D58" s="22">
        <v>0</v>
      </c>
    </row>
    <row r="59" spans="1:5" hidden="1" x14ac:dyDescent="0.25">
      <c r="A59" s="187" t="s">
        <v>340</v>
      </c>
      <c r="B59" s="20"/>
      <c r="C59" s="21"/>
      <c r="D59" s="22">
        <v>0</v>
      </c>
    </row>
    <row r="60" spans="1:5" x14ac:dyDescent="0.25">
      <c r="A60" s="187" t="s">
        <v>405</v>
      </c>
      <c r="B60" s="112">
        <v>56421.599999999999</v>
      </c>
      <c r="C60" s="46">
        <v>1</v>
      </c>
      <c r="D60" s="22">
        <v>0</v>
      </c>
    </row>
    <row r="61" spans="1:5" hidden="1" x14ac:dyDescent="0.25">
      <c r="A61" s="187" t="s">
        <v>284</v>
      </c>
      <c r="B61" s="112"/>
      <c r="C61" s="46">
        <v>154</v>
      </c>
      <c r="D61" s="22">
        <v>2</v>
      </c>
      <c r="E61" s="3">
        <v>1</v>
      </c>
    </row>
    <row r="62" spans="1:5" x14ac:dyDescent="0.25">
      <c r="A62" s="225" t="s">
        <v>282</v>
      </c>
      <c r="B62" s="112">
        <v>572.49</v>
      </c>
      <c r="C62" s="48"/>
      <c r="D62" s="40">
        <v>0</v>
      </c>
    </row>
    <row r="63" spans="1:5" s="8" customFormat="1" x14ac:dyDescent="0.25">
      <c r="A63" s="230" t="s">
        <v>286</v>
      </c>
      <c r="B63" s="208">
        <f>SUM(B64:B71)</f>
        <v>589680.18019931437</v>
      </c>
      <c r="C63" s="39"/>
      <c r="D63" s="40"/>
    </row>
    <row r="64" spans="1:5" hidden="1" x14ac:dyDescent="0.25">
      <c r="A64" s="35" t="s">
        <v>287</v>
      </c>
      <c r="B64" s="20"/>
      <c r="C64" s="39"/>
      <c r="D64" s="40"/>
    </row>
    <row r="65" spans="1:4" x14ac:dyDescent="0.25">
      <c r="A65" s="35" t="s">
        <v>288</v>
      </c>
      <c r="B65" s="20">
        <f>183175*1.04*1.12</f>
        <v>213362.24000000002</v>
      </c>
      <c r="C65" s="39"/>
      <c r="D65" s="40"/>
    </row>
    <row r="66" spans="1:4" hidden="1" x14ac:dyDescent="0.25">
      <c r="A66" s="224" t="s">
        <v>289</v>
      </c>
      <c r="B66" s="23"/>
      <c r="C66" s="39"/>
      <c r="D66" s="40"/>
    </row>
    <row r="67" spans="1:4" x14ac:dyDescent="0.25">
      <c r="A67" s="41" t="s">
        <v>290</v>
      </c>
      <c r="B67" s="20">
        <f>'[6]32тарифы'!D164*B13*1.12</f>
        <v>9214.2150568430807</v>
      </c>
      <c r="C67" s="39"/>
      <c r="D67" s="40"/>
    </row>
    <row r="68" spans="1:4" x14ac:dyDescent="0.25">
      <c r="A68" s="226" t="s">
        <v>291</v>
      </c>
      <c r="B68" s="232">
        <f>'[6]32тарифы'!D165*B15*1.12</f>
        <v>62846.944033552696</v>
      </c>
      <c r="C68" s="39"/>
      <c r="D68" s="40"/>
    </row>
    <row r="69" spans="1:4" x14ac:dyDescent="0.25">
      <c r="A69" s="41" t="s">
        <v>292</v>
      </c>
      <c r="B69" s="20">
        <f>1.04*100371.389927283*1.12</f>
        <v>116912.59498729926</v>
      </c>
      <c r="C69" s="39"/>
      <c r="D69" s="40"/>
    </row>
    <row r="70" spans="1:4" x14ac:dyDescent="0.25">
      <c r="A70" s="226" t="s">
        <v>293</v>
      </c>
      <c r="B70" s="23">
        <f>1.04*17031.2582427542*1.12</f>
        <v>19838.009601160094</v>
      </c>
      <c r="C70" s="39"/>
      <c r="D70" s="40"/>
    </row>
    <row r="71" spans="1:4" x14ac:dyDescent="0.25">
      <c r="A71" s="226" t="s">
        <v>294</v>
      </c>
      <c r="B71" s="23">
        <f>1.04*143806.813633636*1.12</f>
        <v>167506.17652045924</v>
      </c>
      <c r="C71" s="39"/>
      <c r="D71" s="40"/>
    </row>
    <row r="72" spans="1:4" ht="63" x14ac:dyDescent="0.25">
      <c r="A72" s="233" t="s">
        <v>295</v>
      </c>
      <c r="B72" s="208">
        <f>SUM(B73:B73)</f>
        <v>253932.00000000003</v>
      </c>
      <c r="C72" s="39"/>
      <c r="D72" s="40"/>
    </row>
    <row r="73" spans="1:4" x14ac:dyDescent="0.25">
      <c r="A73" s="226" t="s">
        <v>296</v>
      </c>
      <c r="B73" s="23">
        <f>226725*1.12</f>
        <v>253932.00000000003</v>
      </c>
      <c r="C73" s="39"/>
      <c r="D73" s="40"/>
    </row>
    <row r="74" spans="1:4" s="8" customFormat="1" x14ac:dyDescent="0.25">
      <c r="A74" s="230" t="s">
        <v>297</v>
      </c>
      <c r="B74" s="208">
        <f>SUM(B75:B78)</f>
        <v>387422.64106610842</v>
      </c>
      <c r="C74" s="39"/>
      <c r="D74" s="40"/>
    </row>
    <row r="75" spans="1:4" x14ac:dyDescent="0.25">
      <c r="A75" s="234" t="s">
        <v>298</v>
      </c>
      <c r="B75" s="23">
        <f>'[6]32тарифы'!D170*B15*1.12</f>
        <v>237173.65337800272</v>
      </c>
      <c r="C75" s="39"/>
      <c r="D75" s="40"/>
    </row>
    <row r="76" spans="1:4" ht="24" customHeight="1" x14ac:dyDescent="0.25">
      <c r="A76" s="234" t="s">
        <v>299</v>
      </c>
      <c r="B76" s="23">
        <f>B26/1.2*30%</f>
        <v>104559.66</v>
      </c>
      <c r="C76" s="39"/>
      <c r="D76" s="40"/>
    </row>
    <row r="77" spans="1:4" x14ac:dyDescent="0.25">
      <c r="A77" s="235" t="s">
        <v>300</v>
      </c>
      <c r="B77" s="23">
        <f>13675.25+15610.45</f>
        <v>29285.7</v>
      </c>
      <c r="C77" s="39"/>
      <c r="D77" s="40"/>
    </row>
    <row r="78" spans="1:4" x14ac:dyDescent="0.25">
      <c r="A78" s="235" t="s">
        <v>301</v>
      </c>
      <c r="B78" s="23">
        <f>'[6]32тарифы'!D173*B13*1.12</f>
        <v>16403.627688105698</v>
      </c>
      <c r="C78" s="39"/>
      <c r="D78" s="40"/>
    </row>
    <row r="79" spans="1:4" x14ac:dyDescent="0.25">
      <c r="A79" s="236" t="s">
        <v>302</v>
      </c>
      <c r="B79" s="255">
        <f>B32+B39+B43+B63+B72+B74</f>
        <v>1992201.7697103396</v>
      </c>
      <c r="C79" s="39"/>
      <c r="D79" s="40"/>
    </row>
    <row r="80" spans="1:4" x14ac:dyDescent="0.25">
      <c r="A80" s="237" t="s">
        <v>303</v>
      </c>
      <c r="B80" s="23">
        <f>B79*0.03</f>
        <v>59766.053091310183</v>
      </c>
      <c r="C80" s="39"/>
      <c r="D80" s="40"/>
    </row>
    <row r="81" spans="1:4" s="34" customFormat="1" x14ac:dyDescent="0.25">
      <c r="A81" s="238" t="s">
        <v>304</v>
      </c>
      <c r="B81" s="208">
        <f>B79+B80</f>
        <v>2051967.8228016498</v>
      </c>
      <c r="C81" s="39"/>
      <c r="D81" s="40"/>
    </row>
    <row r="82" spans="1:4" ht="16.5" thickBot="1" x14ac:dyDescent="0.3">
      <c r="A82" s="239" t="s">
        <v>305</v>
      </c>
      <c r="B82" s="240">
        <f>B81*0.2</f>
        <v>410393.56456033001</v>
      </c>
      <c r="C82" s="39"/>
      <c r="D82" s="40"/>
    </row>
    <row r="83" spans="1:4" s="8" customFormat="1" ht="16.5" thickBot="1" x14ac:dyDescent="0.3">
      <c r="A83" s="62" t="s">
        <v>306</v>
      </c>
      <c r="B83" s="66">
        <f>B81+B82</f>
        <v>2462361.38736198</v>
      </c>
      <c r="C83" s="60"/>
      <c r="D83" s="61"/>
    </row>
    <row r="84" spans="1:4" s="8" customFormat="1" ht="16.5" thickBot="1" x14ac:dyDescent="0.3">
      <c r="A84" s="62" t="s">
        <v>307</v>
      </c>
      <c r="B84" s="66">
        <f>B10+B24+B26+B28+B29-B83</f>
        <v>-1306777.1389239598</v>
      </c>
      <c r="C84" s="63"/>
      <c r="D84" s="63"/>
    </row>
    <row r="85" spans="1:4" s="8" customFormat="1" ht="16.5" thickBot="1" x14ac:dyDescent="0.3">
      <c r="A85" s="64" t="s">
        <v>308</v>
      </c>
      <c r="B85" s="66">
        <f>B10+B25+B27+B28+B29-B83</f>
        <v>-1275563.35892396</v>
      </c>
      <c r="C85" s="63"/>
      <c r="D85" s="63"/>
    </row>
    <row r="86" spans="1:4" s="8" customFormat="1" ht="16.5" hidden="1" thickBot="1" x14ac:dyDescent="0.3">
      <c r="A86" s="241" t="s">
        <v>309</v>
      </c>
      <c r="B86" s="66">
        <f>B11+B24-B25</f>
        <v>-21197.559999999823</v>
      </c>
      <c r="C86" s="63"/>
      <c r="D86" s="63"/>
    </row>
    <row r="87" spans="1:4" x14ac:dyDescent="0.25">
      <c r="B87" s="299"/>
    </row>
    <row r="88" spans="1:4" x14ac:dyDescent="0.25">
      <c r="A88" s="69"/>
    </row>
    <row r="89" spans="1:4" x14ac:dyDescent="0.25">
      <c r="A89" s="333" t="s">
        <v>407</v>
      </c>
      <c r="B89" s="333"/>
    </row>
    <row r="90" spans="1:4" x14ac:dyDescent="0.25">
      <c r="A90" s="69"/>
    </row>
    <row r="91" spans="1:4" hidden="1" x14ac:dyDescent="0.25">
      <c r="A91" s="342" t="s">
        <v>408</v>
      </c>
      <c r="B91" s="342"/>
      <c r="C91" s="72"/>
    </row>
    <row r="92" spans="1:4" x14ac:dyDescent="0.25">
      <c r="A92"/>
      <c r="B92"/>
      <c r="C92"/>
      <c r="D92"/>
    </row>
    <row r="93" spans="1:4" x14ac:dyDescent="0.25">
      <c r="A93"/>
      <c r="B93"/>
      <c r="C93"/>
      <c r="D93"/>
    </row>
    <row r="94" spans="1:4" x14ac:dyDescent="0.25">
      <c r="B94" s="70"/>
    </row>
  </sheetData>
  <mergeCells count="9">
    <mergeCell ref="D8:D9"/>
    <mergeCell ref="A89:B89"/>
    <mergeCell ref="A91:B91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72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pageSetUpPr fitToPage="1"/>
  </sheetPr>
  <dimension ref="A1:G95"/>
  <sheetViews>
    <sheetView view="pageBreakPreview" topLeftCell="A42" zoomScale="75" zoomScaleNormal="100" zoomScaleSheetLayoutView="75" workbookViewId="0">
      <selection activeCell="B81" sqref="B81"/>
    </sheetView>
  </sheetViews>
  <sheetFormatPr defaultRowHeight="12.75" x14ac:dyDescent="0.2"/>
  <cols>
    <col min="1" max="1" width="96.42578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13" t="s">
        <v>224</v>
      </c>
      <c r="B1" s="313"/>
      <c r="C1" s="3"/>
      <c r="D1" s="3"/>
    </row>
    <row r="2" spans="1:4" ht="16.5" x14ac:dyDescent="0.25">
      <c r="A2" s="315" t="s">
        <v>225</v>
      </c>
      <c r="B2" s="315"/>
      <c r="C2" s="3"/>
      <c r="D2" s="3"/>
    </row>
    <row r="3" spans="1:4" ht="16.5" x14ac:dyDescent="0.25">
      <c r="A3" s="315" t="s">
        <v>226</v>
      </c>
      <c r="B3" s="315"/>
      <c r="C3" s="3"/>
      <c r="D3" s="3"/>
    </row>
    <row r="4" spans="1:4" ht="15.75" x14ac:dyDescent="0.25">
      <c r="A4" s="4" t="s">
        <v>516</v>
      </c>
      <c r="B4" s="4"/>
      <c r="C4" s="3"/>
      <c r="D4" s="3"/>
    </row>
    <row r="5" spans="1:4" ht="15.75" x14ac:dyDescent="0.25">
      <c r="A5" s="4" t="s">
        <v>120</v>
      </c>
      <c r="B5" s="4"/>
      <c r="C5" s="3"/>
      <c r="D5" s="3"/>
    </row>
    <row r="6" spans="1:4" ht="5.25" customHeight="1" x14ac:dyDescent="0.25">
      <c r="A6" s="4"/>
      <c r="B6" s="8"/>
      <c r="C6" s="8"/>
      <c r="D6" s="3"/>
    </row>
    <row r="7" spans="1:4" ht="16.5" thickBot="1" x14ac:dyDescent="0.3">
      <c r="A7" s="9"/>
      <c r="B7" s="8"/>
      <c r="C7" s="8"/>
      <c r="D7" s="3"/>
    </row>
    <row r="8" spans="1:4" ht="15.75" customHeight="1" x14ac:dyDescent="0.2">
      <c r="A8" s="335" t="s">
        <v>227</v>
      </c>
      <c r="B8" s="337" t="s">
        <v>228</v>
      </c>
      <c r="C8" s="307" t="s">
        <v>229</v>
      </c>
      <c r="D8" s="307" t="s">
        <v>230</v>
      </c>
    </row>
    <row r="9" spans="1:4" ht="28.5" customHeight="1" thickBot="1" x14ac:dyDescent="0.25">
      <c r="A9" s="336"/>
      <c r="B9" s="338"/>
      <c r="C9" s="308"/>
      <c r="D9" s="308"/>
    </row>
    <row r="10" spans="1:4" s="212" customFormat="1" ht="16.5" thickBot="1" x14ac:dyDescent="0.3">
      <c r="A10" s="209" t="s">
        <v>231</v>
      </c>
      <c r="B10" s="302">
        <f>VLOOKUP(A5,мкд!S:T,2,FALSE)</f>
        <v>-341538.87</v>
      </c>
      <c r="C10" s="211"/>
      <c r="D10" s="211"/>
    </row>
    <row r="11" spans="1:4" s="212" customFormat="1" ht="16.5" hidden="1" thickBot="1" x14ac:dyDescent="0.3">
      <c r="A11" s="213" t="s">
        <v>232</v>
      </c>
      <c r="B11" s="214"/>
      <c r="C11" s="215"/>
      <c r="D11" s="215"/>
    </row>
    <row r="12" spans="1:4" ht="15.75" x14ac:dyDescent="0.25">
      <c r="A12" s="216" t="s">
        <v>233</v>
      </c>
      <c r="B12" s="217"/>
      <c r="C12" s="17" t="s">
        <v>234</v>
      </c>
      <c r="D12" s="18" t="s">
        <v>234</v>
      </c>
    </row>
    <row r="13" spans="1:4" ht="15.75" hidden="1" x14ac:dyDescent="0.25">
      <c r="A13" s="182" t="s">
        <v>235</v>
      </c>
      <c r="B13" s="20">
        <v>3575.9</v>
      </c>
      <c r="C13" s="21" t="s">
        <v>234</v>
      </c>
      <c r="D13" s="22" t="s">
        <v>234</v>
      </c>
    </row>
    <row r="14" spans="1:4" ht="15.75" hidden="1" x14ac:dyDescent="0.25">
      <c r="A14" s="182" t="s">
        <v>236</v>
      </c>
      <c r="B14" s="20">
        <v>0</v>
      </c>
      <c r="C14" s="21"/>
      <c r="D14" s="22"/>
    </row>
    <row r="15" spans="1:4" ht="15.75" x14ac:dyDescent="0.25">
      <c r="A15" s="219" t="s">
        <v>237</v>
      </c>
      <c r="B15" s="23">
        <f>B13+B14</f>
        <v>3575.9</v>
      </c>
      <c r="C15" s="21"/>
      <c r="D15" s="22"/>
    </row>
    <row r="16" spans="1:4" ht="15.75" x14ac:dyDescent="0.25">
      <c r="A16" s="219" t="s">
        <v>238</v>
      </c>
      <c r="B16" s="23">
        <f>967.9+3297.6/3</f>
        <v>2067.1</v>
      </c>
      <c r="C16" s="21" t="s">
        <v>234</v>
      </c>
      <c r="D16" s="22" t="s">
        <v>234</v>
      </c>
    </row>
    <row r="17" spans="1:7" ht="15.75" hidden="1" x14ac:dyDescent="0.25">
      <c r="A17" s="182" t="s">
        <v>239</v>
      </c>
      <c r="B17" s="20">
        <v>0</v>
      </c>
      <c r="C17" s="21" t="s">
        <v>234</v>
      </c>
      <c r="D17" s="22" t="s">
        <v>234</v>
      </c>
      <c r="E17" s="3"/>
      <c r="F17" s="3"/>
      <c r="G17" s="3"/>
    </row>
    <row r="18" spans="1:7" ht="15.75" hidden="1" x14ac:dyDescent="0.25">
      <c r="A18" s="182" t="s">
        <v>240</v>
      </c>
      <c r="B18" s="20">
        <v>874.2</v>
      </c>
      <c r="C18" s="21" t="s">
        <v>234</v>
      </c>
      <c r="D18" s="22" t="s">
        <v>234</v>
      </c>
      <c r="E18" s="3"/>
      <c r="F18" s="3"/>
      <c r="G18" s="3"/>
    </row>
    <row r="19" spans="1:7" ht="15.75" hidden="1" x14ac:dyDescent="0.25">
      <c r="A19" s="182" t="s">
        <v>241</v>
      </c>
      <c r="B19" s="20">
        <v>0</v>
      </c>
      <c r="C19" s="21" t="s">
        <v>234</v>
      </c>
      <c r="D19" s="22" t="s">
        <v>234</v>
      </c>
      <c r="E19" s="3"/>
      <c r="F19" s="3"/>
      <c r="G19" s="3"/>
    </row>
    <row r="20" spans="1:7" ht="15.75" hidden="1" x14ac:dyDescent="0.25">
      <c r="A20" s="182" t="s">
        <v>242</v>
      </c>
      <c r="B20" s="20">
        <v>1136</v>
      </c>
      <c r="C20" s="21"/>
      <c r="D20" s="22"/>
      <c r="E20" s="3"/>
      <c r="F20" s="3"/>
      <c r="G20" s="3"/>
    </row>
    <row r="21" spans="1:7" ht="15.75" hidden="1" x14ac:dyDescent="0.25">
      <c r="A21" s="182" t="s">
        <v>243</v>
      </c>
      <c r="B21" s="20">
        <v>0</v>
      </c>
      <c r="C21" s="21" t="s">
        <v>234</v>
      </c>
      <c r="D21" s="22" t="s">
        <v>234</v>
      </c>
      <c r="E21" s="3"/>
      <c r="F21" s="3"/>
      <c r="G21" s="3"/>
    </row>
    <row r="22" spans="1:7" ht="15.75" hidden="1" x14ac:dyDescent="0.25">
      <c r="A22" s="182" t="s">
        <v>244</v>
      </c>
      <c r="B22" s="20">
        <v>169</v>
      </c>
      <c r="C22" s="21"/>
      <c r="D22" s="22"/>
      <c r="E22" s="3"/>
      <c r="F22" s="3"/>
      <c r="G22" s="3"/>
    </row>
    <row r="23" spans="1:7" ht="15.75" x14ac:dyDescent="0.25">
      <c r="A23" s="219"/>
      <c r="B23" s="23"/>
      <c r="C23" s="21"/>
      <c r="D23" s="22"/>
      <c r="E23" s="3"/>
      <c r="F23" s="3"/>
      <c r="G23" s="3"/>
    </row>
    <row r="24" spans="1:7" ht="15.75" x14ac:dyDescent="0.25">
      <c r="A24" s="220" t="s">
        <v>319</v>
      </c>
      <c r="B24" s="28">
        <f>VLOOKUP(A5,'[5]Лист  1'!M$1:N$65536,2,FALSE)</f>
        <v>668829.48</v>
      </c>
      <c r="C24" s="21"/>
      <c r="D24" s="22"/>
      <c r="E24" s="26">
        <v>15.59</v>
      </c>
      <c r="F24" s="3"/>
      <c r="G24" s="3"/>
    </row>
    <row r="25" spans="1:7" ht="15.75" x14ac:dyDescent="0.25">
      <c r="A25" s="220" t="s">
        <v>320</v>
      </c>
      <c r="B25" s="28">
        <f>VLOOKUP(A5,'[5]Лист  1'!M$1:O$65536,3,FALSE)</f>
        <v>700390.52</v>
      </c>
      <c r="C25" s="21"/>
      <c r="D25" s="22"/>
      <c r="E25" s="3"/>
      <c r="F25" s="3"/>
      <c r="G25" s="3"/>
    </row>
    <row r="26" spans="1:7" ht="15.75" hidden="1" x14ac:dyDescent="0.25">
      <c r="A26" s="220" t="s">
        <v>353</v>
      </c>
      <c r="B26" s="28"/>
      <c r="C26" s="21"/>
      <c r="D26" s="22"/>
      <c r="E26" s="3"/>
      <c r="F26" s="3"/>
      <c r="G26" s="3"/>
    </row>
    <row r="27" spans="1:7" ht="15.75" hidden="1" x14ac:dyDescent="0.25">
      <c r="A27" s="220" t="s">
        <v>354</v>
      </c>
      <c r="B27" s="28"/>
      <c r="C27" s="21"/>
      <c r="D27" s="22"/>
      <c r="E27" s="3"/>
      <c r="F27" s="3"/>
      <c r="G27" s="3"/>
    </row>
    <row r="28" spans="1:7" ht="15.75" x14ac:dyDescent="0.25">
      <c r="A28" s="220" t="s">
        <v>399</v>
      </c>
      <c r="B28" s="28">
        <v>7611.96</v>
      </c>
      <c r="C28" s="21"/>
      <c r="D28" s="22"/>
      <c r="E28" s="3"/>
      <c r="F28" s="3"/>
      <c r="G28" s="3"/>
    </row>
    <row r="29" spans="1:7" ht="15.75" hidden="1" x14ac:dyDescent="0.25">
      <c r="A29" s="220" t="s">
        <v>430</v>
      </c>
      <c r="B29" s="23"/>
      <c r="C29" s="21"/>
      <c r="D29" s="22"/>
      <c r="E29" s="3"/>
      <c r="F29" s="3"/>
      <c r="G29" s="3"/>
    </row>
    <row r="30" spans="1:7" ht="15.75" x14ac:dyDescent="0.25">
      <c r="A30" s="221"/>
      <c r="B30" s="23"/>
      <c r="C30" s="21"/>
      <c r="D30" s="22"/>
      <c r="E30" s="3"/>
      <c r="F30" s="3"/>
      <c r="G30" s="3"/>
    </row>
    <row r="31" spans="1:7" ht="15.75" x14ac:dyDescent="0.25">
      <c r="A31" s="222" t="s">
        <v>251</v>
      </c>
      <c r="B31" s="23"/>
      <c r="C31" s="21"/>
      <c r="D31" s="22"/>
      <c r="E31" s="3"/>
      <c r="F31" s="3"/>
      <c r="G31" s="3"/>
    </row>
    <row r="32" spans="1:7" s="34" customFormat="1" ht="31.5" x14ac:dyDescent="0.25">
      <c r="A32" s="223" t="s">
        <v>252</v>
      </c>
      <c r="B32" s="208">
        <f>SUM(B33:B41)</f>
        <v>290329.07999999996</v>
      </c>
      <c r="C32" s="21"/>
      <c r="D32" s="22"/>
      <c r="E32" s="33">
        <f>(B86-B24-B26)/1.2/1.03</f>
        <v>277753.0430952062</v>
      </c>
      <c r="F32" s="33" t="e">
        <f>(#REF!-#REF!-#REF!)/1.2/1.03</f>
        <v>#REF!</v>
      </c>
      <c r="G32" s="33" t="e">
        <f>(#REF!-#REF!-#REF!)/1.2/1.03</f>
        <v>#REF!</v>
      </c>
    </row>
    <row r="33" spans="1:7" ht="16.5" x14ac:dyDescent="0.25">
      <c r="A33" s="224" t="s">
        <v>253</v>
      </c>
      <c r="B33" s="248">
        <v>69142.36</v>
      </c>
      <c r="C33" s="21"/>
      <c r="D33" s="22">
        <v>34169.31</v>
      </c>
      <c r="E33" s="3"/>
      <c r="F33" s="3"/>
      <c r="G33" s="3"/>
    </row>
    <row r="34" spans="1:7" ht="15.75" hidden="1" x14ac:dyDescent="0.25">
      <c r="A34" s="225" t="s">
        <v>322</v>
      </c>
      <c r="B34" s="20"/>
      <c r="C34" s="21"/>
      <c r="D34" s="22">
        <v>0</v>
      </c>
      <c r="E34" s="3"/>
      <c r="F34" s="3"/>
      <c r="G34" s="3"/>
    </row>
    <row r="35" spans="1:7" ht="19.5" customHeight="1" x14ac:dyDescent="0.25">
      <c r="A35" s="249" t="s">
        <v>441</v>
      </c>
      <c r="B35" s="248">
        <v>25801.13</v>
      </c>
      <c r="C35" s="21"/>
      <c r="D35" s="22">
        <v>0</v>
      </c>
      <c r="E35" s="3"/>
      <c r="F35" s="3"/>
      <c r="G35" s="3"/>
    </row>
    <row r="36" spans="1:7" ht="26.1" customHeight="1" x14ac:dyDescent="0.25">
      <c r="A36" s="251" t="s">
        <v>442</v>
      </c>
      <c r="B36" s="252">
        <v>10796.26</v>
      </c>
      <c r="C36" s="21" t="s">
        <v>234</v>
      </c>
      <c r="D36" s="22">
        <v>0</v>
      </c>
      <c r="E36" s="3"/>
      <c r="F36" s="3"/>
      <c r="G36" s="3"/>
    </row>
    <row r="37" spans="1:7" ht="15.75" x14ac:dyDescent="0.25">
      <c r="A37" s="225" t="s">
        <v>257</v>
      </c>
      <c r="B37" s="20">
        <v>153800.71</v>
      </c>
      <c r="C37" s="21"/>
      <c r="D37" s="22">
        <v>0</v>
      </c>
      <c r="E37" s="3"/>
      <c r="F37" s="3"/>
      <c r="G37" s="3"/>
    </row>
    <row r="38" spans="1:7" ht="15.75" hidden="1" x14ac:dyDescent="0.25">
      <c r="A38" s="224" t="s">
        <v>258</v>
      </c>
      <c r="B38" s="23"/>
      <c r="C38" s="21"/>
      <c r="D38" s="22">
        <v>0</v>
      </c>
      <c r="E38" s="3"/>
      <c r="F38" s="3"/>
      <c r="G38" s="3"/>
    </row>
    <row r="39" spans="1:7" ht="21.6" customHeight="1" x14ac:dyDescent="0.25">
      <c r="A39" s="250" t="s">
        <v>368</v>
      </c>
      <c r="B39" s="253">
        <v>1176.93</v>
      </c>
      <c r="C39" s="21"/>
      <c r="D39" s="22">
        <v>0</v>
      </c>
      <c r="E39" s="3"/>
      <c r="F39" s="3"/>
      <c r="G39" s="3"/>
    </row>
    <row r="40" spans="1:7" ht="16.5" x14ac:dyDescent="0.25">
      <c r="A40" s="250" t="s">
        <v>443</v>
      </c>
      <c r="B40" s="254">
        <v>29611.69</v>
      </c>
      <c r="C40" s="21"/>
      <c r="D40" s="22"/>
      <c r="E40" s="3"/>
      <c r="F40" s="3"/>
      <c r="G40" s="3"/>
    </row>
    <row r="41" spans="1:7" ht="16.5" x14ac:dyDescent="0.25">
      <c r="A41" s="250"/>
      <c r="B41" s="23"/>
      <c r="C41" s="21"/>
      <c r="D41" s="22"/>
      <c r="E41" s="3"/>
      <c r="F41" s="3"/>
      <c r="G41" s="3"/>
    </row>
    <row r="42" spans="1:7" s="34" customFormat="1" ht="47.25" x14ac:dyDescent="0.25">
      <c r="A42" s="223" t="s">
        <v>401</v>
      </c>
      <c r="B42" s="208">
        <f>SUM(B43:B45)</f>
        <v>19922.936113504977</v>
      </c>
      <c r="C42" s="21"/>
      <c r="D42" s="22"/>
      <c r="E42" s="33"/>
      <c r="F42" s="33"/>
      <c r="G42" s="33"/>
    </row>
    <row r="43" spans="1:7" ht="15.75" x14ac:dyDescent="0.25">
      <c r="A43" s="35" t="s">
        <v>262</v>
      </c>
      <c r="B43" s="23">
        <v>615</v>
      </c>
      <c r="C43" s="39"/>
      <c r="D43" s="40"/>
      <c r="E43" s="3"/>
      <c r="F43" s="3"/>
      <c r="G43" s="3"/>
    </row>
    <row r="44" spans="1:7" ht="15.75" x14ac:dyDescent="0.25">
      <c r="A44" s="35" t="s">
        <v>263</v>
      </c>
      <c r="B44" s="23"/>
      <c r="C44" s="39"/>
      <c r="D44" s="40"/>
      <c r="E44" s="3"/>
      <c r="F44" s="3"/>
      <c r="G44" s="3"/>
    </row>
    <row r="45" spans="1:7" ht="15.75" x14ac:dyDescent="0.25">
      <c r="A45" s="226" t="s">
        <v>264</v>
      </c>
      <c r="B45" s="23">
        <f>'[6]32тарифы'!D163*B15+300.11*1.12</f>
        <v>19307.936113504977</v>
      </c>
      <c r="C45" s="39"/>
      <c r="D45" s="40"/>
      <c r="E45" s="3"/>
      <c r="F45" s="3"/>
      <c r="G45" s="3"/>
    </row>
    <row r="46" spans="1:7" s="8" customFormat="1" ht="15.75" x14ac:dyDescent="0.25">
      <c r="A46" s="223" t="s">
        <v>265</v>
      </c>
      <c r="B46" s="208">
        <f>SUM(B47:B65)</f>
        <v>45160.499999999993</v>
      </c>
      <c r="C46" s="21"/>
      <c r="D46" s="22"/>
    </row>
    <row r="47" spans="1:7" ht="15.75" x14ac:dyDescent="0.25">
      <c r="A47" s="224" t="s">
        <v>326</v>
      </c>
      <c r="B47" s="23">
        <v>3671.64</v>
      </c>
      <c r="C47" s="21"/>
      <c r="D47" s="22"/>
      <c r="E47" s="3" t="s">
        <v>267</v>
      </c>
      <c r="F47" s="3"/>
      <c r="G47" s="3"/>
    </row>
    <row r="48" spans="1:7" ht="15.75" x14ac:dyDescent="0.25">
      <c r="A48" s="224" t="s">
        <v>317</v>
      </c>
      <c r="B48" s="23">
        <v>4458.42</v>
      </c>
      <c r="C48" s="21"/>
      <c r="D48" s="22"/>
      <c r="E48" s="3" t="s">
        <v>269</v>
      </c>
      <c r="F48" s="3"/>
      <c r="G48" s="3"/>
    </row>
    <row r="49" spans="1:5" ht="15.75" hidden="1" x14ac:dyDescent="0.25">
      <c r="A49" s="143" t="s">
        <v>270</v>
      </c>
      <c r="B49" s="23">
        <v>0</v>
      </c>
      <c r="C49" s="21"/>
      <c r="D49" s="22"/>
      <c r="E49" s="3"/>
    </row>
    <row r="50" spans="1:5" ht="15.75" hidden="1" x14ac:dyDescent="0.25">
      <c r="A50" s="228" t="s">
        <v>380</v>
      </c>
      <c r="B50" s="20">
        <v>0</v>
      </c>
      <c r="C50" s="21"/>
      <c r="D50" s="22"/>
      <c r="E50" s="3"/>
    </row>
    <row r="51" spans="1:5" ht="15.75" hidden="1" x14ac:dyDescent="0.25">
      <c r="A51" s="143" t="s">
        <v>316</v>
      </c>
      <c r="B51" s="23"/>
      <c r="C51" s="21"/>
      <c r="D51" s="22"/>
      <c r="E51" s="3"/>
    </row>
    <row r="52" spans="1:5" ht="15.75" x14ac:dyDescent="0.25">
      <c r="A52" s="143" t="s">
        <v>444</v>
      </c>
      <c r="B52" s="23">
        <v>4200</v>
      </c>
      <c r="C52" s="21"/>
      <c r="D52" s="22">
        <v>105.14</v>
      </c>
      <c r="E52" s="3"/>
    </row>
    <row r="53" spans="1:5" ht="15.75" hidden="1" x14ac:dyDescent="0.25">
      <c r="A53" s="228"/>
      <c r="B53" s="20"/>
      <c r="C53" s="21">
        <v>0</v>
      </c>
      <c r="D53" s="22">
        <v>522.99</v>
      </c>
      <c r="E53" s="3"/>
    </row>
    <row r="54" spans="1:5" ht="15.75" hidden="1" x14ac:dyDescent="0.25">
      <c r="A54" s="188" t="s">
        <v>275</v>
      </c>
      <c r="B54" s="20"/>
      <c r="C54" s="21">
        <v>1</v>
      </c>
      <c r="D54" s="44">
        <v>695.13</v>
      </c>
      <c r="E54" s="3"/>
    </row>
    <row r="55" spans="1:5" ht="15.75" hidden="1" x14ac:dyDescent="0.25">
      <c r="A55" s="143"/>
      <c r="B55" s="23"/>
      <c r="C55" s="21"/>
      <c r="D55" s="44"/>
      <c r="E55" s="3"/>
    </row>
    <row r="56" spans="1:5" ht="15.75" x14ac:dyDescent="0.25">
      <c r="A56" s="143" t="s">
        <v>550</v>
      </c>
      <c r="B56" s="23">
        <v>8133.61</v>
      </c>
      <c r="C56" s="21">
        <v>0</v>
      </c>
      <c r="D56" s="22">
        <f>10695.76/1.18</f>
        <v>9064.203389830509</v>
      </c>
      <c r="E56" s="3"/>
    </row>
    <row r="57" spans="1:5" ht="15.75" hidden="1" x14ac:dyDescent="0.25">
      <c r="A57" s="143" t="s">
        <v>348</v>
      </c>
      <c r="B57" s="23"/>
      <c r="C57" s="21">
        <v>0</v>
      </c>
      <c r="D57" s="22">
        <f>2300/1.18</f>
        <v>1949.1525423728815</v>
      </c>
      <c r="E57" s="3"/>
    </row>
    <row r="58" spans="1:5" ht="15.75" hidden="1" x14ac:dyDescent="0.25">
      <c r="A58" s="228" t="s">
        <v>346</v>
      </c>
      <c r="B58" s="20"/>
      <c r="C58" s="21">
        <v>0</v>
      </c>
      <c r="D58" s="22">
        <v>0</v>
      </c>
      <c r="E58" s="3"/>
    </row>
    <row r="59" spans="1:5" ht="15.75" hidden="1" x14ac:dyDescent="0.25">
      <c r="A59" s="228" t="s">
        <v>279</v>
      </c>
      <c r="B59" s="20">
        <f>B13*'[6]32тарифы'!D184</f>
        <v>0</v>
      </c>
      <c r="C59" s="21"/>
      <c r="D59" s="22"/>
      <c r="E59" s="227">
        <f>B80+B46-B59+552.92</f>
        <v>64503.69999999999</v>
      </c>
    </row>
    <row r="60" spans="1:5" ht="15.75" hidden="1" x14ac:dyDescent="0.25">
      <c r="A60" s="187" t="s">
        <v>351</v>
      </c>
      <c r="B60" s="20"/>
      <c r="C60" s="21"/>
      <c r="D60" s="22"/>
      <c r="E60" s="3"/>
    </row>
    <row r="61" spans="1:5" ht="15.75" hidden="1" x14ac:dyDescent="0.25">
      <c r="A61" s="187" t="s">
        <v>281</v>
      </c>
      <c r="B61" s="20"/>
      <c r="C61" s="21"/>
      <c r="D61" s="22">
        <v>0</v>
      </c>
      <c r="E61" s="3"/>
    </row>
    <row r="62" spans="1:5" ht="15.75" hidden="1" x14ac:dyDescent="0.25">
      <c r="A62" s="225" t="s">
        <v>340</v>
      </c>
      <c r="B62" s="20"/>
      <c r="C62" s="21"/>
      <c r="D62" s="22">
        <v>0</v>
      </c>
      <c r="E62" s="3"/>
    </row>
    <row r="63" spans="1:5" ht="15.75" x14ac:dyDescent="0.25">
      <c r="A63" s="224" t="s">
        <v>405</v>
      </c>
      <c r="B63" s="229">
        <v>24628.12</v>
      </c>
      <c r="C63" s="46">
        <v>1</v>
      </c>
      <c r="D63" s="22">
        <v>0</v>
      </c>
      <c r="E63" s="3"/>
    </row>
    <row r="64" spans="1:5" ht="15.75" hidden="1" x14ac:dyDescent="0.25">
      <c r="A64" s="187" t="s">
        <v>284</v>
      </c>
      <c r="B64" s="112"/>
      <c r="C64" s="46">
        <v>80</v>
      </c>
      <c r="D64" s="22">
        <v>2</v>
      </c>
      <c r="E64" s="3">
        <v>1</v>
      </c>
    </row>
    <row r="65" spans="1:4" ht="15.75" x14ac:dyDescent="0.25">
      <c r="A65" s="187" t="s">
        <v>282</v>
      </c>
      <c r="B65" s="112">
        <v>68.709999999999994</v>
      </c>
      <c r="C65" s="48">
        <v>80</v>
      </c>
      <c r="D65" s="40">
        <f>650/1.18</f>
        <v>550.84745762711873</v>
      </c>
    </row>
    <row r="66" spans="1:4" s="8" customFormat="1" ht="15.75" x14ac:dyDescent="0.25">
      <c r="A66" s="230" t="s">
        <v>286</v>
      </c>
      <c r="B66" s="208">
        <f>SUM(B67:B74)</f>
        <v>228817.56556812179</v>
      </c>
      <c r="C66" s="39"/>
      <c r="D66" s="40"/>
    </row>
    <row r="67" spans="1:4" ht="15.75" hidden="1" x14ac:dyDescent="0.25">
      <c r="A67" s="187" t="s">
        <v>287</v>
      </c>
      <c r="B67" s="20"/>
      <c r="C67" s="39"/>
      <c r="D67" s="40"/>
    </row>
    <row r="68" spans="1:4" ht="15.75" x14ac:dyDescent="0.25">
      <c r="A68" s="224" t="s">
        <v>288</v>
      </c>
      <c r="B68" s="232">
        <f>1.04*77973.88*1.12</f>
        <v>90823.975424000004</v>
      </c>
      <c r="C68" s="39"/>
      <c r="D68" s="40"/>
    </row>
    <row r="69" spans="1:4" ht="15.75" hidden="1" x14ac:dyDescent="0.25">
      <c r="A69" s="187" t="s">
        <v>289</v>
      </c>
      <c r="B69" s="20"/>
      <c r="C69" s="39"/>
      <c r="D69" s="40"/>
    </row>
    <row r="70" spans="1:4" ht="15.75" x14ac:dyDescent="0.25">
      <c r="A70" s="226" t="s">
        <v>290</v>
      </c>
      <c r="B70" s="23">
        <f>'[6]32тарифы'!D164*B13*1.12</f>
        <v>4415.4096755377259</v>
      </c>
      <c r="C70" s="39"/>
      <c r="D70" s="40"/>
    </row>
    <row r="71" spans="1:4" ht="15.75" x14ac:dyDescent="0.25">
      <c r="A71" s="226" t="s">
        <v>291</v>
      </c>
      <c r="B71" s="23">
        <f>'[6]32тарифы'!D165*B15*1.12</f>
        <v>22868.142862769513</v>
      </c>
      <c r="C71" s="39"/>
      <c r="D71" s="40"/>
    </row>
    <row r="72" spans="1:4" ht="15.75" x14ac:dyDescent="0.25">
      <c r="A72" s="226" t="s">
        <v>292</v>
      </c>
      <c r="B72" s="23">
        <f>1.04*36522.1781184211*1.12</f>
        <v>42541.033072336904</v>
      </c>
      <c r="C72" s="39"/>
      <c r="D72" s="40"/>
    </row>
    <row r="73" spans="1:4" ht="15.75" x14ac:dyDescent="0.25">
      <c r="A73" s="226" t="s">
        <v>293</v>
      </c>
      <c r="B73" s="23">
        <f>1.04*6197.17080308777*1.12</f>
        <v>7218.4645514366357</v>
      </c>
      <c r="C73" s="39"/>
      <c r="D73" s="40"/>
    </row>
    <row r="74" spans="1:4" ht="15.75" x14ac:dyDescent="0.25">
      <c r="A74" s="226" t="s">
        <v>294</v>
      </c>
      <c r="B74" s="23">
        <f>1.04*52327.0432538127*1.12</f>
        <v>60950.539982041038</v>
      </c>
      <c r="C74" s="39"/>
      <c r="D74" s="40"/>
    </row>
    <row r="75" spans="1:4" ht="63" x14ac:dyDescent="0.25">
      <c r="A75" s="233" t="s">
        <v>295</v>
      </c>
      <c r="B75" s="208">
        <f>SUM(B76:B76)</f>
        <v>121695.84000000001</v>
      </c>
      <c r="C75" s="39"/>
      <c r="D75" s="40"/>
    </row>
    <row r="76" spans="1:4" ht="15.75" x14ac:dyDescent="0.25">
      <c r="A76" s="226" t="s">
        <v>296</v>
      </c>
      <c r="B76" s="23">
        <f>108657*1.12</f>
        <v>121695.84000000001</v>
      </c>
      <c r="C76" s="39"/>
      <c r="D76" s="40"/>
    </row>
    <row r="77" spans="1:4" s="8" customFormat="1" ht="15.75" x14ac:dyDescent="0.25">
      <c r="A77" s="230" t="s">
        <v>297</v>
      </c>
      <c r="B77" s="208">
        <f>SUM(B78:B81)</f>
        <v>112951.29617086102</v>
      </c>
      <c r="C77" s="39"/>
      <c r="D77" s="40"/>
    </row>
    <row r="78" spans="1:4" ht="15.75" x14ac:dyDescent="0.25">
      <c r="A78" s="234" t="s">
        <v>298</v>
      </c>
      <c r="B78" s="23">
        <f>'[6]32тарифы'!D170*B15*1.12</f>
        <v>86300.472873231993</v>
      </c>
      <c r="C78" s="39"/>
      <c r="D78" s="40"/>
    </row>
    <row r="79" spans="1:4" ht="15.75" hidden="1" x14ac:dyDescent="0.25">
      <c r="A79" s="234" t="s">
        <v>299</v>
      </c>
      <c r="B79" s="232">
        <f>(B26/1.2)*30%</f>
        <v>0</v>
      </c>
      <c r="C79" s="39"/>
      <c r="D79" s="40"/>
    </row>
    <row r="80" spans="1:4" ht="15.75" x14ac:dyDescent="0.25">
      <c r="A80" s="235" t="s">
        <v>300</v>
      </c>
      <c r="B80" s="23">
        <f>10683.84+8106.44</f>
        <v>18790.28</v>
      </c>
      <c r="C80" s="39"/>
      <c r="D80" s="40"/>
    </row>
    <row r="81" spans="1:4" ht="15.75" x14ac:dyDescent="0.25">
      <c r="A81" s="235" t="s">
        <v>301</v>
      </c>
      <c r="B81" s="23">
        <f>'[6]32тарифы'!D173*B13*1.12</f>
        <v>7860.5432976290385</v>
      </c>
      <c r="C81" s="39"/>
      <c r="D81" s="40"/>
    </row>
    <row r="82" spans="1:4" ht="15.75" x14ac:dyDescent="0.25">
      <c r="A82" s="236" t="s">
        <v>302</v>
      </c>
      <c r="B82" s="28">
        <f>B32+B42+B46+B66+B75+B77</f>
        <v>818877.21785248769</v>
      </c>
      <c r="C82" s="39"/>
      <c r="D82" s="40"/>
    </row>
    <row r="83" spans="1:4" ht="15.75" x14ac:dyDescent="0.25">
      <c r="A83" s="237" t="s">
        <v>303</v>
      </c>
      <c r="B83" s="23">
        <f>B82*0.03</f>
        <v>24566.316535574631</v>
      </c>
      <c r="C83" s="39"/>
      <c r="D83" s="40"/>
    </row>
    <row r="84" spans="1:4" s="34" customFormat="1" ht="15.75" x14ac:dyDescent="0.25">
      <c r="A84" s="238" t="s">
        <v>304</v>
      </c>
      <c r="B84" s="208">
        <f>B82+B83</f>
        <v>843443.53438806231</v>
      </c>
      <c r="C84" s="39"/>
      <c r="D84" s="40"/>
    </row>
    <row r="85" spans="1:4" ht="16.5" thickBot="1" x14ac:dyDescent="0.3">
      <c r="A85" s="239" t="s">
        <v>305</v>
      </c>
      <c r="B85" s="240">
        <f>B84*0.2</f>
        <v>168688.70687761248</v>
      </c>
      <c r="C85" s="39"/>
      <c r="D85" s="40"/>
    </row>
    <row r="86" spans="1:4" s="8" customFormat="1" ht="16.5" thickBot="1" x14ac:dyDescent="0.3">
      <c r="A86" s="58" t="s">
        <v>306</v>
      </c>
      <c r="B86" s="66">
        <f>B84+B85</f>
        <v>1012132.2412656748</v>
      </c>
      <c r="C86" s="60"/>
      <c r="D86" s="61"/>
    </row>
    <row r="87" spans="1:4" s="8" customFormat="1" ht="16.5" thickBot="1" x14ac:dyDescent="0.3">
      <c r="A87" s="62" t="s">
        <v>307</v>
      </c>
      <c r="B87" s="296">
        <f>B10+B24+B26+B28+B29-B86</f>
        <v>-677229.67126567475</v>
      </c>
      <c r="C87" s="63"/>
      <c r="D87" s="63"/>
    </row>
    <row r="88" spans="1:4" s="8" customFormat="1" ht="16.5" thickBot="1" x14ac:dyDescent="0.3">
      <c r="A88" s="64" t="s">
        <v>308</v>
      </c>
      <c r="B88" s="66">
        <f>B10+B25+B27+B28+B29-B86</f>
        <v>-645668.63126567472</v>
      </c>
      <c r="C88" s="63"/>
      <c r="D88" s="63"/>
    </row>
    <row r="89" spans="1:4" s="8" customFormat="1" ht="16.5" hidden="1" thickBot="1" x14ac:dyDescent="0.3">
      <c r="A89" s="241" t="s">
        <v>309</v>
      </c>
      <c r="B89" s="66">
        <f>B11+B24-B25</f>
        <v>-31561.040000000037</v>
      </c>
      <c r="C89" s="63"/>
      <c r="D89" s="63"/>
    </row>
    <row r="90" spans="1:4" ht="15.75" x14ac:dyDescent="0.25">
      <c r="A90" s="3"/>
      <c r="B90" s="227"/>
      <c r="C90" s="3"/>
      <c r="D90" s="3"/>
    </row>
    <row r="91" spans="1:4" ht="15.75" x14ac:dyDescent="0.25">
      <c r="A91" s="69"/>
      <c r="B91" s="3"/>
      <c r="C91" s="3"/>
      <c r="D91" s="3"/>
    </row>
    <row r="92" spans="1:4" ht="15.75" x14ac:dyDescent="0.25">
      <c r="A92" s="333" t="s">
        <v>407</v>
      </c>
      <c r="B92" s="333"/>
      <c r="C92" s="3"/>
      <c r="D92" s="3"/>
    </row>
    <row r="93" spans="1:4" ht="15.75" x14ac:dyDescent="0.25">
      <c r="A93" s="69"/>
      <c r="B93" s="3"/>
      <c r="C93" s="3"/>
      <c r="D93" s="3"/>
    </row>
    <row r="94" spans="1:4" ht="15.75" hidden="1" x14ac:dyDescent="0.25">
      <c r="A94" s="342" t="s">
        <v>408</v>
      </c>
      <c r="B94" s="342"/>
      <c r="C94" s="72"/>
      <c r="D94" s="3"/>
    </row>
    <row r="95" spans="1:4" ht="15.75" x14ac:dyDescent="0.25">
      <c r="A95" s="3"/>
      <c r="B95" s="3"/>
      <c r="C95" s="3"/>
      <c r="D95" s="3"/>
    </row>
  </sheetData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74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pageSetUpPr fitToPage="1"/>
  </sheetPr>
  <dimension ref="A1:G95"/>
  <sheetViews>
    <sheetView view="pageBreakPreview" topLeftCell="A45" zoomScale="75" zoomScaleNormal="100" zoomScaleSheetLayoutView="75" workbookViewId="0">
      <selection activeCell="B81" sqref="B81"/>
    </sheetView>
  </sheetViews>
  <sheetFormatPr defaultRowHeight="12.75" x14ac:dyDescent="0.2"/>
  <cols>
    <col min="1" max="1" width="96.42578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13" t="s">
        <v>224</v>
      </c>
      <c r="B1" s="313"/>
      <c r="C1" s="3"/>
      <c r="D1" s="3"/>
    </row>
    <row r="2" spans="1:4" ht="16.5" x14ac:dyDescent="0.25">
      <c r="A2" s="315" t="s">
        <v>225</v>
      </c>
      <c r="B2" s="315"/>
      <c r="C2" s="3"/>
      <c r="D2" s="3"/>
    </row>
    <row r="3" spans="1:4" ht="16.5" x14ac:dyDescent="0.25">
      <c r="A3" s="315" t="s">
        <v>226</v>
      </c>
      <c r="B3" s="315"/>
      <c r="C3" s="3"/>
      <c r="D3" s="3"/>
    </row>
    <row r="4" spans="1:4" ht="15.75" x14ac:dyDescent="0.25">
      <c r="A4" s="4" t="s">
        <v>516</v>
      </c>
      <c r="B4" s="4"/>
      <c r="C4" s="3"/>
      <c r="D4" s="3"/>
    </row>
    <row r="5" spans="1:4" ht="15.75" x14ac:dyDescent="0.25">
      <c r="A5" s="4" t="s">
        <v>121</v>
      </c>
      <c r="B5" s="4"/>
      <c r="C5" s="3"/>
      <c r="D5" s="3"/>
    </row>
    <row r="6" spans="1:4" ht="5.25" customHeight="1" x14ac:dyDescent="0.25">
      <c r="A6" s="4"/>
      <c r="B6" s="8"/>
      <c r="C6" s="8"/>
      <c r="D6" s="3"/>
    </row>
    <row r="7" spans="1:4" ht="16.5" thickBot="1" x14ac:dyDescent="0.3">
      <c r="A7" s="9"/>
      <c r="B7" s="8"/>
      <c r="C7" s="8"/>
      <c r="D7" s="3"/>
    </row>
    <row r="8" spans="1:4" ht="15.75" customHeight="1" x14ac:dyDescent="0.2">
      <c r="A8" s="335" t="s">
        <v>227</v>
      </c>
      <c r="B8" s="337" t="s">
        <v>228</v>
      </c>
      <c r="C8" s="307" t="s">
        <v>229</v>
      </c>
      <c r="D8" s="307" t="s">
        <v>230</v>
      </c>
    </row>
    <row r="9" spans="1:4" ht="28.5" customHeight="1" thickBot="1" x14ac:dyDescent="0.25">
      <c r="A9" s="336"/>
      <c r="B9" s="338"/>
      <c r="C9" s="308"/>
      <c r="D9" s="308"/>
    </row>
    <row r="10" spans="1:4" s="212" customFormat="1" ht="16.5" thickBot="1" x14ac:dyDescent="0.3">
      <c r="A10" s="209" t="s">
        <v>231</v>
      </c>
      <c r="B10" s="302">
        <f>VLOOKUP(A5,мкд!S:T,2,FALSE)</f>
        <v>-1163120.71</v>
      </c>
      <c r="C10" s="211"/>
      <c r="D10" s="211"/>
    </row>
    <row r="11" spans="1:4" s="212" customFormat="1" ht="16.5" hidden="1" thickBot="1" x14ac:dyDescent="0.3">
      <c r="A11" s="213" t="s">
        <v>232</v>
      </c>
      <c r="B11" s="214"/>
      <c r="C11" s="215"/>
      <c r="D11" s="215"/>
    </row>
    <row r="12" spans="1:4" ht="15.75" x14ac:dyDescent="0.25">
      <c r="A12" s="216" t="s">
        <v>233</v>
      </c>
      <c r="B12" s="217"/>
      <c r="C12" s="17" t="s">
        <v>234</v>
      </c>
      <c r="D12" s="18" t="s">
        <v>234</v>
      </c>
    </row>
    <row r="13" spans="1:4" ht="15.75" hidden="1" x14ac:dyDescent="0.25">
      <c r="A13" s="182" t="s">
        <v>235</v>
      </c>
      <c r="B13" s="20">
        <v>1087.4000000000001</v>
      </c>
      <c r="C13" s="21" t="s">
        <v>234</v>
      </c>
      <c r="D13" s="22" t="s">
        <v>234</v>
      </c>
    </row>
    <row r="14" spans="1:4" ht="15.75" hidden="1" x14ac:dyDescent="0.25">
      <c r="A14" s="182" t="s">
        <v>236</v>
      </c>
      <c r="B14" s="20">
        <v>0</v>
      </c>
      <c r="C14" s="21"/>
      <c r="D14" s="22"/>
    </row>
    <row r="15" spans="1:4" ht="15.75" x14ac:dyDescent="0.25">
      <c r="A15" s="219" t="s">
        <v>237</v>
      </c>
      <c r="B15" s="23">
        <f>B13+B14</f>
        <v>1087.4000000000001</v>
      </c>
      <c r="C15" s="21"/>
      <c r="D15" s="22"/>
    </row>
    <row r="16" spans="1:4" ht="15.75" x14ac:dyDescent="0.25">
      <c r="A16" s="219" t="s">
        <v>238</v>
      </c>
      <c r="B16" s="23">
        <f>888.4+974.2/3</f>
        <v>1213.1333333333332</v>
      </c>
      <c r="C16" s="21" t="s">
        <v>234</v>
      </c>
      <c r="D16" s="22" t="s">
        <v>234</v>
      </c>
    </row>
    <row r="17" spans="1:7" ht="15.75" hidden="1" x14ac:dyDescent="0.25">
      <c r="A17" s="182" t="s">
        <v>239</v>
      </c>
      <c r="B17" s="20">
        <v>0</v>
      </c>
      <c r="C17" s="21" t="s">
        <v>234</v>
      </c>
      <c r="D17" s="22" t="s">
        <v>234</v>
      </c>
      <c r="E17" s="3"/>
      <c r="F17" s="3"/>
      <c r="G17" s="3"/>
    </row>
    <row r="18" spans="1:7" ht="15.75" hidden="1" x14ac:dyDescent="0.25">
      <c r="A18" s="182" t="s">
        <v>240</v>
      </c>
      <c r="B18" s="20">
        <v>481.1</v>
      </c>
      <c r="C18" s="21" t="s">
        <v>234</v>
      </c>
      <c r="D18" s="22" t="s">
        <v>234</v>
      </c>
      <c r="E18" s="3"/>
      <c r="F18" s="3"/>
      <c r="G18" s="3"/>
    </row>
    <row r="19" spans="1:7" ht="15.75" hidden="1" x14ac:dyDescent="0.25">
      <c r="A19" s="182" t="s">
        <v>241</v>
      </c>
      <c r="B19" s="20">
        <v>0</v>
      </c>
      <c r="C19" s="21" t="s">
        <v>234</v>
      </c>
      <c r="D19" s="22" t="s">
        <v>234</v>
      </c>
      <c r="E19" s="3"/>
      <c r="F19" s="3"/>
      <c r="G19" s="3"/>
    </row>
    <row r="20" spans="1:7" ht="15.75" hidden="1" x14ac:dyDescent="0.25">
      <c r="A20" s="182" t="s">
        <v>242</v>
      </c>
      <c r="B20" s="20">
        <v>481.1</v>
      </c>
      <c r="C20" s="21"/>
      <c r="D20" s="22"/>
      <c r="E20" s="3"/>
      <c r="F20" s="3"/>
      <c r="G20" s="3"/>
    </row>
    <row r="21" spans="1:7" ht="15.75" hidden="1" x14ac:dyDescent="0.25">
      <c r="A21" s="182" t="s">
        <v>243</v>
      </c>
      <c r="B21" s="20">
        <v>0</v>
      </c>
      <c r="C21" s="21" t="s">
        <v>234</v>
      </c>
      <c r="D21" s="22" t="s">
        <v>234</v>
      </c>
      <c r="E21" s="3"/>
      <c r="F21" s="3"/>
      <c r="G21" s="3"/>
    </row>
    <row r="22" spans="1:7" ht="15.75" hidden="1" x14ac:dyDescent="0.25">
      <c r="A22" s="182" t="s">
        <v>244</v>
      </c>
      <c r="B22" s="20">
        <v>140</v>
      </c>
      <c r="C22" s="21"/>
      <c r="D22" s="22"/>
      <c r="E22" s="3"/>
      <c r="F22" s="3"/>
      <c r="G22" s="3"/>
    </row>
    <row r="23" spans="1:7" ht="15.75" x14ac:dyDescent="0.25">
      <c r="A23" s="219"/>
      <c r="B23" s="23"/>
      <c r="C23" s="21"/>
      <c r="D23" s="22"/>
      <c r="E23" s="3">
        <v>10</v>
      </c>
      <c r="F23" s="3">
        <v>2</v>
      </c>
      <c r="G23" s="3"/>
    </row>
    <row r="24" spans="1:7" ht="15.75" x14ac:dyDescent="0.25">
      <c r="A24" s="220" t="s">
        <v>319</v>
      </c>
      <c r="B24" s="28">
        <f>VLOOKUP(A5,'[5]Лист  1'!M$1:N$65536,2,FALSE)</f>
        <v>441984.46</v>
      </c>
      <c r="C24" s="21"/>
      <c r="D24" s="22"/>
      <c r="E24" s="3">
        <v>33.21</v>
      </c>
      <c r="F24" s="3">
        <v>37.175274000000002</v>
      </c>
      <c r="G24" s="3"/>
    </row>
    <row r="25" spans="1:7" ht="15.75" x14ac:dyDescent="0.25">
      <c r="A25" s="220" t="s">
        <v>320</v>
      </c>
      <c r="B25" s="28">
        <f>VLOOKUP(A5,'[5]Лист  1'!M$1:O$65536,3,FALSE)</f>
        <v>484434.24</v>
      </c>
      <c r="C25" s="21"/>
      <c r="D25" s="22"/>
      <c r="E25" s="3"/>
      <c r="F25" s="3"/>
      <c r="G25" s="3"/>
    </row>
    <row r="26" spans="1:7" ht="15.75" hidden="1" x14ac:dyDescent="0.25">
      <c r="A26" s="220" t="s">
        <v>353</v>
      </c>
      <c r="B26" s="28"/>
      <c r="C26" s="21"/>
      <c r="D26" s="22"/>
      <c r="E26" s="3"/>
      <c r="F26" s="3"/>
      <c r="G26" s="3"/>
    </row>
    <row r="27" spans="1:7" ht="15.75" hidden="1" x14ac:dyDescent="0.25">
      <c r="A27" s="220" t="s">
        <v>354</v>
      </c>
      <c r="B27" s="28"/>
      <c r="C27" s="21"/>
      <c r="D27" s="22"/>
      <c r="E27" s="3"/>
      <c r="F27" s="3"/>
      <c r="G27" s="3"/>
    </row>
    <row r="28" spans="1:7" ht="15.75" x14ac:dyDescent="0.25">
      <c r="A28" s="220" t="s">
        <v>399</v>
      </c>
      <c r="B28" s="28">
        <v>7611.96</v>
      </c>
      <c r="C28" s="21"/>
      <c r="D28" s="22"/>
      <c r="E28" s="3"/>
      <c r="F28" s="3"/>
      <c r="G28" s="3"/>
    </row>
    <row r="29" spans="1:7" ht="15.75" hidden="1" x14ac:dyDescent="0.25">
      <c r="A29" s="220" t="s">
        <v>430</v>
      </c>
      <c r="B29" s="28"/>
      <c r="C29" s="21"/>
      <c r="D29" s="22"/>
      <c r="E29" s="3"/>
      <c r="F29" s="3"/>
      <c r="G29" s="3"/>
    </row>
    <row r="30" spans="1:7" ht="15.75" x14ac:dyDescent="0.25">
      <c r="A30" s="221"/>
      <c r="B30" s="23"/>
      <c r="C30" s="21"/>
      <c r="D30" s="22"/>
      <c r="E30" s="3"/>
      <c r="F30" s="3"/>
      <c r="G30" s="3"/>
    </row>
    <row r="31" spans="1:7" ht="15.75" x14ac:dyDescent="0.25">
      <c r="A31" s="222" t="s">
        <v>251</v>
      </c>
      <c r="B31" s="23"/>
      <c r="C31" s="21"/>
      <c r="D31" s="22"/>
      <c r="E31" s="3"/>
      <c r="F31" s="3"/>
      <c r="G31" s="3"/>
    </row>
    <row r="32" spans="1:7" s="34" customFormat="1" ht="31.5" x14ac:dyDescent="0.25">
      <c r="A32" s="223" t="s">
        <v>252</v>
      </c>
      <c r="B32" s="208">
        <f>SUM(B33:B41)</f>
        <v>356722.13</v>
      </c>
      <c r="C32" s="21"/>
      <c r="D32" s="22"/>
      <c r="E32" s="33">
        <f>(B86-B24-B26)/1.2/1.03</f>
        <v>446719.57179451943</v>
      </c>
      <c r="F32" s="33" t="e">
        <f>(#REF!-#REF!-#REF!)/1.2/1.03</f>
        <v>#REF!</v>
      </c>
      <c r="G32" s="33" t="e">
        <f>(#REF!-#REF!-#REF!)/1.2/1.03</f>
        <v>#REF!</v>
      </c>
    </row>
    <row r="33" spans="1:7" ht="16.5" x14ac:dyDescent="0.25">
      <c r="A33" s="224" t="s">
        <v>253</v>
      </c>
      <c r="B33" s="248">
        <v>27401.040000000001</v>
      </c>
      <c r="C33" s="21"/>
      <c r="D33" s="22">
        <v>24235.87</v>
      </c>
      <c r="E33" s="3"/>
      <c r="F33" s="3"/>
      <c r="G33" s="3"/>
    </row>
    <row r="34" spans="1:7" ht="18" customHeight="1" x14ac:dyDescent="0.25">
      <c r="A34" s="225" t="s">
        <v>322</v>
      </c>
      <c r="B34" s="248">
        <v>24686.63</v>
      </c>
      <c r="C34" s="21"/>
      <c r="D34" s="22">
        <v>0</v>
      </c>
      <c r="E34" s="3"/>
      <c r="F34" s="3"/>
      <c r="G34" s="3"/>
    </row>
    <row r="35" spans="1:7" ht="16.5" x14ac:dyDescent="0.25">
      <c r="A35" s="249" t="s">
        <v>435</v>
      </c>
      <c r="B35" s="20">
        <v>222026.99</v>
      </c>
      <c r="C35" s="21"/>
      <c r="D35" s="22">
        <v>0</v>
      </c>
      <c r="E35" s="3"/>
      <c r="F35" s="3"/>
      <c r="G35" s="3"/>
    </row>
    <row r="36" spans="1:7" ht="16.5" x14ac:dyDescent="0.25">
      <c r="A36" s="249" t="s">
        <v>436</v>
      </c>
      <c r="B36" s="23">
        <v>31372.34</v>
      </c>
      <c r="C36" s="21" t="s">
        <v>234</v>
      </c>
      <c r="D36" s="22">
        <v>0</v>
      </c>
      <c r="E36" s="3"/>
      <c r="F36" s="3"/>
      <c r="G36" s="3"/>
    </row>
    <row r="37" spans="1:7" ht="16.5" x14ac:dyDescent="0.25">
      <c r="A37" s="249" t="s">
        <v>437</v>
      </c>
      <c r="B37" s="20">
        <v>5579.46</v>
      </c>
      <c r="C37" s="21"/>
      <c r="D37" s="22">
        <v>0</v>
      </c>
      <c r="E37" s="3"/>
      <c r="F37" s="3"/>
      <c r="G37" s="3"/>
    </row>
    <row r="38" spans="1:7" ht="16.5" x14ac:dyDescent="0.25">
      <c r="A38" s="249" t="s">
        <v>438</v>
      </c>
      <c r="B38" s="23">
        <v>18704.43</v>
      </c>
      <c r="C38" s="21"/>
      <c r="D38" s="22">
        <v>0</v>
      </c>
      <c r="E38" s="3"/>
      <c r="F38" s="3"/>
      <c r="G38" s="3"/>
    </row>
    <row r="39" spans="1:7" ht="16.5" x14ac:dyDescent="0.25">
      <c r="A39" s="250" t="s">
        <v>439</v>
      </c>
      <c r="B39" s="20">
        <v>26951.24</v>
      </c>
      <c r="C39" s="21"/>
      <c r="D39" s="22">
        <v>0</v>
      </c>
      <c r="E39" s="3"/>
      <c r="F39" s="3"/>
      <c r="G39" s="3"/>
    </row>
    <row r="40" spans="1:7" ht="15.75" hidden="1" x14ac:dyDescent="0.25">
      <c r="A40" s="187" t="s">
        <v>312</v>
      </c>
      <c r="B40" s="20"/>
      <c r="C40" s="21"/>
      <c r="D40" s="22"/>
      <c r="E40" s="3"/>
      <c r="F40" s="3"/>
      <c r="G40" s="3"/>
    </row>
    <row r="41" spans="1:7" ht="15.75" hidden="1" x14ac:dyDescent="0.25">
      <c r="A41" s="35" t="s">
        <v>400</v>
      </c>
      <c r="B41" s="23"/>
      <c r="C41" s="21"/>
      <c r="D41" s="22"/>
      <c r="E41" s="3"/>
      <c r="F41" s="3"/>
      <c r="G41" s="3"/>
    </row>
    <row r="42" spans="1:7" s="34" customFormat="1" ht="47.25" x14ac:dyDescent="0.25">
      <c r="A42" s="223" t="s">
        <v>401</v>
      </c>
      <c r="B42" s="208">
        <f>SUM(B43:B45)</f>
        <v>6317.7836295381048</v>
      </c>
      <c r="C42" s="21"/>
      <c r="D42" s="22"/>
      <c r="E42" s="33"/>
      <c r="F42" s="33"/>
      <c r="G42" s="33"/>
    </row>
    <row r="43" spans="1:7" ht="15.75" x14ac:dyDescent="0.25">
      <c r="A43" s="35" t="s">
        <v>262</v>
      </c>
      <c r="B43" s="23">
        <f>0</f>
        <v>0</v>
      </c>
      <c r="C43" s="39"/>
      <c r="D43" s="40"/>
      <c r="E43" s="3"/>
      <c r="F43" s="3"/>
      <c r="G43" s="3"/>
    </row>
    <row r="44" spans="1:7" ht="15.75" x14ac:dyDescent="0.25">
      <c r="A44" s="35" t="s">
        <v>263</v>
      </c>
      <c r="B44" s="23"/>
      <c r="C44" s="39"/>
      <c r="D44" s="40"/>
      <c r="E44" s="3"/>
      <c r="F44" s="3"/>
      <c r="G44" s="3"/>
    </row>
    <row r="45" spans="1:7" ht="15.75" x14ac:dyDescent="0.25">
      <c r="A45" s="226" t="s">
        <v>264</v>
      </c>
      <c r="B45" s="23">
        <f>'[6]32тарифы'!D163*B15+489.84*1.12</f>
        <v>6317.7836295381048</v>
      </c>
      <c r="C45" s="39"/>
      <c r="D45" s="40"/>
      <c r="E45" s="3"/>
      <c r="F45" s="3"/>
      <c r="G45" s="3"/>
    </row>
    <row r="46" spans="1:7" s="8" customFormat="1" ht="15.75" x14ac:dyDescent="0.25">
      <c r="A46" s="223" t="s">
        <v>265</v>
      </c>
      <c r="B46" s="208">
        <f>SUM(B47:B65)</f>
        <v>257760.18</v>
      </c>
      <c r="C46" s="21"/>
      <c r="D46" s="22"/>
    </row>
    <row r="47" spans="1:7" ht="15.75" x14ac:dyDescent="0.25">
      <c r="A47" s="224" t="s">
        <v>326</v>
      </c>
      <c r="B47" s="23">
        <v>2020.68</v>
      </c>
      <c r="C47" s="21"/>
      <c r="D47" s="22"/>
      <c r="E47" s="3" t="s">
        <v>267</v>
      </c>
      <c r="F47" s="3"/>
      <c r="G47" s="3"/>
    </row>
    <row r="48" spans="1:7" ht="15.75" x14ac:dyDescent="0.25">
      <c r="A48" s="224" t="s">
        <v>317</v>
      </c>
      <c r="B48" s="23">
        <v>2453.64</v>
      </c>
      <c r="C48" s="21"/>
      <c r="D48" s="22"/>
      <c r="E48" s="3" t="s">
        <v>269</v>
      </c>
      <c r="F48" s="3"/>
      <c r="G48" s="3"/>
    </row>
    <row r="49" spans="1:5" ht="15.75" hidden="1" x14ac:dyDescent="0.25">
      <c r="A49" s="143" t="s">
        <v>395</v>
      </c>
      <c r="B49" s="23"/>
      <c r="C49" s="21"/>
      <c r="D49" s="22"/>
      <c r="E49" s="3"/>
    </row>
    <row r="50" spans="1:5" ht="15.75" hidden="1" x14ac:dyDescent="0.25">
      <c r="A50" s="228" t="s">
        <v>380</v>
      </c>
      <c r="B50" s="20"/>
      <c r="C50" s="21"/>
      <c r="D50" s="22"/>
      <c r="E50" s="3"/>
    </row>
    <row r="51" spans="1:5" ht="15.75" hidden="1" x14ac:dyDescent="0.25">
      <c r="A51" s="143" t="s">
        <v>316</v>
      </c>
      <c r="B51" s="23"/>
      <c r="C51" s="21"/>
      <c r="D51" s="22"/>
      <c r="E51" s="3"/>
    </row>
    <row r="52" spans="1:5" ht="15.75" hidden="1" x14ac:dyDescent="0.25">
      <c r="A52" s="143" t="s">
        <v>440</v>
      </c>
      <c r="B52" s="23"/>
      <c r="C52" s="21"/>
      <c r="D52" s="22">
        <v>105.14</v>
      </c>
      <c r="E52" s="3"/>
    </row>
    <row r="53" spans="1:5" ht="15.75" hidden="1" x14ac:dyDescent="0.25">
      <c r="A53" s="228" t="s">
        <v>274</v>
      </c>
      <c r="B53" s="20"/>
      <c r="C53" s="21">
        <v>0</v>
      </c>
      <c r="D53" s="22">
        <v>522.99</v>
      </c>
      <c r="E53" s="3"/>
    </row>
    <row r="54" spans="1:5" ht="15.75" hidden="1" x14ac:dyDescent="0.25">
      <c r="A54" s="188" t="s">
        <v>275</v>
      </c>
      <c r="B54" s="20"/>
      <c r="C54" s="21"/>
      <c r="D54" s="44"/>
      <c r="E54" s="3"/>
    </row>
    <row r="55" spans="1:5" ht="15.75" hidden="1" x14ac:dyDescent="0.25">
      <c r="A55" s="143" t="s">
        <v>412</v>
      </c>
      <c r="B55" s="23"/>
      <c r="C55" s="21"/>
      <c r="D55" s="44"/>
      <c r="E55" s="3"/>
    </row>
    <row r="56" spans="1:5" ht="15.75" x14ac:dyDescent="0.25">
      <c r="A56" s="143" t="s">
        <v>277</v>
      </c>
      <c r="B56" s="23">
        <v>48000</v>
      </c>
      <c r="C56" s="21">
        <v>1</v>
      </c>
      <c r="D56" s="22">
        <v>5306.39</v>
      </c>
      <c r="E56" s="3"/>
    </row>
    <row r="57" spans="1:5" ht="15.75" x14ac:dyDescent="0.25">
      <c r="A57" s="143" t="s">
        <v>540</v>
      </c>
      <c r="B57" s="23">
        <v>9962.27</v>
      </c>
      <c r="C57" s="21">
        <v>0</v>
      </c>
      <c r="D57" s="22">
        <f>2300/1.18</f>
        <v>1949.1525423728815</v>
      </c>
      <c r="E57" s="227">
        <f>B80+B46-B59+564.85</f>
        <v>280521.58999999997</v>
      </c>
    </row>
    <row r="58" spans="1:5" ht="15.75" hidden="1" x14ac:dyDescent="0.25">
      <c r="A58" s="228" t="s">
        <v>315</v>
      </c>
      <c r="B58" s="20"/>
      <c r="C58" s="21">
        <v>0</v>
      </c>
      <c r="D58" s="22">
        <v>0</v>
      </c>
      <c r="E58" s="3"/>
    </row>
    <row r="59" spans="1:5" ht="15.75" hidden="1" x14ac:dyDescent="0.25">
      <c r="A59" s="228" t="s">
        <v>279</v>
      </c>
      <c r="B59" s="20">
        <f>B13*'[6]32тарифы'!D184</f>
        <v>0</v>
      </c>
      <c r="C59" s="21"/>
      <c r="D59" s="22"/>
      <c r="E59" s="3"/>
    </row>
    <row r="60" spans="1:5" ht="15.75" hidden="1" x14ac:dyDescent="0.25">
      <c r="A60" s="187" t="s">
        <v>351</v>
      </c>
      <c r="B60" s="20"/>
      <c r="C60" s="21"/>
      <c r="D60" s="22"/>
      <c r="E60" s="3"/>
    </row>
    <row r="61" spans="1:5" ht="18" customHeight="1" x14ac:dyDescent="0.25">
      <c r="A61" s="187" t="s">
        <v>542</v>
      </c>
      <c r="B61" s="20">
        <v>4200</v>
      </c>
      <c r="C61" s="21"/>
      <c r="D61" s="22">
        <v>0</v>
      </c>
      <c r="E61" s="3"/>
    </row>
    <row r="62" spans="1:5" ht="15.75" x14ac:dyDescent="0.25">
      <c r="A62" s="225" t="s">
        <v>282</v>
      </c>
      <c r="B62" s="20">
        <v>1680.05</v>
      </c>
      <c r="C62" s="21"/>
      <c r="D62" s="22">
        <v>0</v>
      </c>
      <c r="E62" s="3"/>
    </row>
    <row r="63" spans="1:5" ht="15.75" x14ac:dyDescent="0.25">
      <c r="A63" s="224" t="s">
        <v>327</v>
      </c>
      <c r="B63" s="229">
        <v>8409.92</v>
      </c>
      <c r="C63" s="46">
        <v>1</v>
      </c>
      <c r="D63" s="22">
        <v>0</v>
      </c>
      <c r="E63" s="3"/>
    </row>
    <row r="64" spans="1:5" ht="15.75" customHeight="1" x14ac:dyDescent="0.25">
      <c r="A64" s="187" t="s">
        <v>541</v>
      </c>
      <c r="B64" s="112">
        <v>179000</v>
      </c>
      <c r="C64" s="46">
        <v>86</v>
      </c>
      <c r="D64" s="22">
        <v>0.08</v>
      </c>
      <c r="E64" s="3">
        <v>0</v>
      </c>
    </row>
    <row r="65" spans="1:4" ht="15.75" x14ac:dyDescent="0.25">
      <c r="A65" s="187" t="s">
        <v>550</v>
      </c>
      <c r="B65" s="112">
        <v>2033.62</v>
      </c>
      <c r="C65" s="48"/>
      <c r="D65" s="40">
        <v>0</v>
      </c>
    </row>
    <row r="66" spans="1:4" s="8" customFormat="1" ht="15.75" x14ac:dyDescent="0.25">
      <c r="A66" s="230" t="s">
        <v>286</v>
      </c>
      <c r="B66" s="208">
        <f>SUM(B67:B74)</f>
        <v>95676.059624136557</v>
      </c>
      <c r="C66" s="39"/>
      <c r="D66" s="40"/>
    </row>
    <row r="67" spans="1:4" ht="15.75" hidden="1" x14ac:dyDescent="0.25">
      <c r="A67" s="187" t="s">
        <v>287</v>
      </c>
      <c r="B67" s="20"/>
      <c r="C67" s="39"/>
      <c r="D67" s="40"/>
    </row>
    <row r="68" spans="1:4" ht="15.75" x14ac:dyDescent="0.25">
      <c r="A68" s="224" t="s">
        <v>288</v>
      </c>
      <c r="B68" s="232">
        <f>1.04*46113.85*1.12</f>
        <v>53713.412480000006</v>
      </c>
      <c r="C68" s="39"/>
      <c r="D68" s="40"/>
    </row>
    <row r="69" spans="1:4" ht="15.75" hidden="1" x14ac:dyDescent="0.25">
      <c r="A69" s="187" t="s">
        <v>289</v>
      </c>
      <c r="B69" s="20"/>
      <c r="C69" s="39"/>
      <c r="D69" s="40"/>
    </row>
    <row r="70" spans="1:4" ht="15.75" x14ac:dyDescent="0.25">
      <c r="A70" s="226" t="s">
        <v>290</v>
      </c>
      <c r="B70" s="23">
        <f>'[6]32тарифы'!D164*B13*1.12</f>
        <v>1342.687569892817</v>
      </c>
      <c r="C70" s="39"/>
      <c r="D70" s="40"/>
    </row>
    <row r="71" spans="1:4" ht="15.75" x14ac:dyDescent="0.25">
      <c r="A71" s="226" t="s">
        <v>291</v>
      </c>
      <c r="B71" s="23">
        <f>'[6]32тарифы'!D165*B15*1.12</f>
        <v>6954.002782229808</v>
      </c>
      <c r="C71" s="39"/>
      <c r="D71" s="40"/>
    </row>
    <row r="72" spans="1:4" ht="15.75" x14ac:dyDescent="0.25">
      <c r="A72" s="226" t="s">
        <v>292</v>
      </c>
      <c r="B72" s="23">
        <f>1.04*11106.0758091588*1.12</f>
        <v>12936.357102508171</v>
      </c>
      <c r="C72" s="39"/>
      <c r="D72" s="40"/>
    </row>
    <row r="73" spans="1:4" ht="15.75" x14ac:dyDescent="0.25">
      <c r="A73" s="226" t="s">
        <v>293</v>
      </c>
      <c r="B73" s="23">
        <f>1.04*1884.50558776186*1.12</f>
        <v>2195.0721086250146</v>
      </c>
      <c r="C73" s="39"/>
      <c r="D73" s="40"/>
    </row>
    <row r="74" spans="1:4" ht="15.75" x14ac:dyDescent="0.25">
      <c r="A74" s="226" t="s">
        <v>294</v>
      </c>
      <c r="B74" s="23">
        <f>1.04*15912.197442377*1.12</f>
        <v>18534.527580880735</v>
      </c>
      <c r="C74" s="39"/>
      <c r="D74" s="40"/>
    </row>
    <row r="75" spans="1:4" ht="63" x14ac:dyDescent="0.25">
      <c r="A75" s="233" t="s">
        <v>295</v>
      </c>
      <c r="B75" s="208">
        <f>SUM(B76:B76)</f>
        <v>37005.920000000006</v>
      </c>
      <c r="C75" s="39"/>
      <c r="D75" s="40"/>
    </row>
    <row r="76" spans="1:4" ht="15.75" x14ac:dyDescent="0.25">
      <c r="A76" s="226" t="s">
        <v>296</v>
      </c>
      <c r="B76" s="23">
        <f>33041*1.12</f>
        <v>37005.920000000006</v>
      </c>
      <c r="C76" s="39"/>
      <c r="D76" s="40"/>
    </row>
    <row r="77" spans="1:4" s="8" customFormat="1" ht="15.75" x14ac:dyDescent="0.25">
      <c r="A77" s="230" t="s">
        <v>297</v>
      </c>
      <c r="B77" s="208">
        <f>SUM(B78:B81)</f>
        <v>50830.103718838407</v>
      </c>
      <c r="C77" s="39"/>
      <c r="D77" s="40"/>
    </row>
    <row r="78" spans="1:4" ht="15.75" x14ac:dyDescent="0.25">
      <c r="A78" s="234" t="s">
        <v>298</v>
      </c>
      <c r="B78" s="23">
        <f>'[6]32тарифы'!D170*B15*1.12</f>
        <v>26243.221063886704</v>
      </c>
      <c r="C78" s="39"/>
      <c r="D78" s="40"/>
    </row>
    <row r="79" spans="1:4" ht="15.75" x14ac:dyDescent="0.25">
      <c r="A79" s="234" t="s">
        <v>299</v>
      </c>
      <c r="B79" s="232">
        <f>(B26/1.2)*30%</f>
        <v>0</v>
      </c>
      <c r="C79" s="39"/>
      <c r="D79" s="40"/>
    </row>
    <row r="80" spans="1:4" ht="15.75" x14ac:dyDescent="0.25">
      <c r="A80" s="235" t="s">
        <v>300</v>
      </c>
      <c r="B80" s="23">
        <f>11617.91+10578.65</f>
        <v>22196.559999999998</v>
      </c>
      <c r="C80" s="39"/>
      <c r="D80" s="40"/>
    </row>
    <row r="81" spans="1:4" ht="15.75" x14ac:dyDescent="0.25">
      <c r="A81" s="235" t="s">
        <v>301</v>
      </c>
      <c r="B81" s="23">
        <f>'[6]32тарифы'!D173*B13*1.12</f>
        <v>2390.322654951709</v>
      </c>
      <c r="C81" s="39"/>
      <c r="D81" s="40"/>
    </row>
    <row r="82" spans="1:4" ht="15.75" x14ac:dyDescent="0.25">
      <c r="A82" s="236" t="s">
        <v>302</v>
      </c>
      <c r="B82" s="28">
        <f>B32+B42+B46+B66+B75+B77</f>
        <v>804312.17697251309</v>
      </c>
      <c r="C82" s="39"/>
      <c r="D82" s="40"/>
    </row>
    <row r="83" spans="1:4" ht="15.75" x14ac:dyDescent="0.25">
      <c r="A83" s="237" t="s">
        <v>303</v>
      </c>
      <c r="B83" s="23">
        <f>B82*0.03</f>
        <v>24129.365309175391</v>
      </c>
      <c r="C83" s="39"/>
      <c r="D83" s="40"/>
    </row>
    <row r="84" spans="1:4" s="34" customFormat="1" ht="15.75" x14ac:dyDescent="0.25">
      <c r="A84" s="238" t="s">
        <v>304</v>
      </c>
      <c r="B84" s="208">
        <f>B82+B83</f>
        <v>828441.54228168842</v>
      </c>
      <c r="C84" s="39"/>
      <c r="D84" s="40"/>
    </row>
    <row r="85" spans="1:4" ht="16.5" thickBot="1" x14ac:dyDescent="0.3">
      <c r="A85" s="239" t="s">
        <v>305</v>
      </c>
      <c r="B85" s="240">
        <f>B84*0.2</f>
        <v>165688.30845633769</v>
      </c>
      <c r="C85" s="39"/>
      <c r="D85" s="40"/>
    </row>
    <row r="86" spans="1:4" s="8" customFormat="1" ht="16.5" thickBot="1" x14ac:dyDescent="0.3">
      <c r="A86" s="58" t="s">
        <v>306</v>
      </c>
      <c r="B86" s="66">
        <f>B84+B85</f>
        <v>994129.85073802609</v>
      </c>
      <c r="C86" s="60"/>
      <c r="D86" s="61"/>
    </row>
    <row r="87" spans="1:4" s="8" customFormat="1" ht="16.5" thickBot="1" x14ac:dyDescent="0.3">
      <c r="A87" s="62" t="s">
        <v>307</v>
      </c>
      <c r="B87" s="296">
        <f>B10+B24+B26+B28+B29-B86</f>
        <v>-1707654.1407380262</v>
      </c>
      <c r="C87" s="63"/>
      <c r="D87" s="63"/>
    </row>
    <row r="88" spans="1:4" s="8" customFormat="1" ht="16.5" thickBot="1" x14ac:dyDescent="0.3">
      <c r="A88" s="64" t="s">
        <v>308</v>
      </c>
      <c r="B88" s="66">
        <f>B10+B25+B27+B28+B29-B86</f>
        <v>-1665204.360738026</v>
      </c>
      <c r="C88" s="63"/>
      <c r="D88" s="63"/>
    </row>
    <row r="89" spans="1:4" s="8" customFormat="1" ht="16.5" hidden="1" thickBot="1" x14ac:dyDescent="0.3">
      <c r="A89" s="241" t="s">
        <v>309</v>
      </c>
      <c r="B89" s="66">
        <f>B11+B24-B25</f>
        <v>-42449.77999999997</v>
      </c>
      <c r="C89" s="63"/>
      <c r="D89" s="63"/>
    </row>
    <row r="90" spans="1:4" ht="15.75" x14ac:dyDescent="0.25">
      <c r="A90" s="3"/>
      <c r="B90" s="227"/>
      <c r="C90" s="3"/>
      <c r="D90" s="3"/>
    </row>
    <row r="91" spans="1:4" ht="15.75" x14ac:dyDescent="0.25">
      <c r="A91" s="69"/>
      <c r="B91" s="3"/>
      <c r="C91" s="3"/>
      <c r="D91" s="3"/>
    </row>
    <row r="92" spans="1:4" ht="15.75" x14ac:dyDescent="0.25">
      <c r="A92" s="333" t="s">
        <v>407</v>
      </c>
      <c r="B92" s="333"/>
      <c r="C92" s="3"/>
      <c r="D92" s="3"/>
    </row>
    <row r="93" spans="1:4" ht="15.75" x14ac:dyDescent="0.25">
      <c r="A93" s="69"/>
      <c r="B93" s="3"/>
      <c r="C93" s="3"/>
      <c r="D93" s="3"/>
    </row>
    <row r="94" spans="1:4" ht="15.75" hidden="1" x14ac:dyDescent="0.25">
      <c r="A94" s="342" t="s">
        <v>408</v>
      </c>
      <c r="B94" s="342"/>
      <c r="C94" s="72"/>
      <c r="D94" s="3"/>
    </row>
    <row r="95" spans="1:4" ht="15.75" x14ac:dyDescent="0.25">
      <c r="A95" s="3"/>
      <c r="B95" s="3"/>
      <c r="C95" s="3"/>
      <c r="D95" s="3"/>
    </row>
  </sheetData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71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pageSetUpPr fitToPage="1"/>
  </sheetPr>
  <dimension ref="A1:G95"/>
  <sheetViews>
    <sheetView view="pageBreakPreview" topLeftCell="A42" zoomScale="75" zoomScaleNormal="100" zoomScaleSheetLayoutView="75" workbookViewId="0">
      <selection activeCell="B81" sqref="B81"/>
    </sheetView>
  </sheetViews>
  <sheetFormatPr defaultRowHeight="12.75" x14ac:dyDescent="0.2"/>
  <cols>
    <col min="1" max="1" width="96.42578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13" t="s">
        <v>224</v>
      </c>
      <c r="B1" s="313"/>
      <c r="C1" s="3"/>
      <c r="D1" s="3"/>
    </row>
    <row r="2" spans="1:4" ht="16.5" x14ac:dyDescent="0.25">
      <c r="A2" s="315" t="s">
        <v>225</v>
      </c>
      <c r="B2" s="315"/>
      <c r="C2" s="3"/>
      <c r="D2" s="3"/>
    </row>
    <row r="3" spans="1:4" ht="16.5" x14ac:dyDescent="0.25">
      <c r="A3" s="315" t="s">
        <v>226</v>
      </c>
      <c r="B3" s="315"/>
      <c r="C3" s="3"/>
      <c r="D3" s="3"/>
    </row>
    <row r="4" spans="1:4" ht="15.75" x14ac:dyDescent="0.25">
      <c r="A4" s="4" t="s">
        <v>516</v>
      </c>
      <c r="B4" s="4"/>
      <c r="C4" s="3"/>
      <c r="D4" s="3"/>
    </row>
    <row r="5" spans="1:4" ht="15.75" x14ac:dyDescent="0.25">
      <c r="A5" s="4" t="s">
        <v>122</v>
      </c>
      <c r="B5" s="4"/>
      <c r="C5" s="3"/>
      <c r="D5" s="3"/>
    </row>
    <row r="6" spans="1:4" ht="5.25" customHeight="1" x14ac:dyDescent="0.25">
      <c r="A6" s="4"/>
      <c r="B6" s="8"/>
      <c r="C6" s="8"/>
      <c r="D6" s="3"/>
    </row>
    <row r="7" spans="1:4" ht="16.5" thickBot="1" x14ac:dyDescent="0.3">
      <c r="A7" s="9"/>
      <c r="B7" s="8"/>
      <c r="C7" s="8"/>
      <c r="D7" s="3"/>
    </row>
    <row r="8" spans="1:4" ht="15.75" customHeight="1" x14ac:dyDescent="0.2">
      <c r="A8" s="335" t="s">
        <v>227</v>
      </c>
      <c r="B8" s="337" t="s">
        <v>228</v>
      </c>
      <c r="C8" s="307" t="s">
        <v>229</v>
      </c>
      <c r="D8" s="307" t="s">
        <v>230</v>
      </c>
    </row>
    <row r="9" spans="1:4" ht="28.5" customHeight="1" thickBot="1" x14ac:dyDescent="0.25">
      <c r="A9" s="336"/>
      <c r="B9" s="338"/>
      <c r="C9" s="308"/>
      <c r="D9" s="308"/>
    </row>
    <row r="10" spans="1:4" s="212" customFormat="1" ht="16.5" thickBot="1" x14ac:dyDescent="0.3">
      <c r="A10" s="209" t="s">
        <v>231</v>
      </c>
      <c r="B10" s="302">
        <f>VLOOKUP(A5,мкд!S:T,2,FALSE)</f>
        <v>-776965.61</v>
      </c>
      <c r="C10" s="211"/>
      <c r="D10" s="211"/>
    </row>
    <row r="11" spans="1:4" s="212" customFormat="1" ht="16.5" hidden="1" thickBot="1" x14ac:dyDescent="0.3">
      <c r="A11" s="213" t="s">
        <v>232</v>
      </c>
      <c r="B11" s="214"/>
      <c r="C11" s="215"/>
      <c r="D11" s="215"/>
    </row>
    <row r="12" spans="1:4" ht="15.75" x14ac:dyDescent="0.25">
      <c r="A12" s="216" t="s">
        <v>233</v>
      </c>
      <c r="B12" s="217"/>
      <c r="C12" s="17" t="s">
        <v>234</v>
      </c>
      <c r="D12" s="18" t="s">
        <v>234</v>
      </c>
    </row>
    <row r="13" spans="1:4" ht="15.75" hidden="1" x14ac:dyDescent="0.25">
      <c r="A13" s="182" t="s">
        <v>235</v>
      </c>
      <c r="B13" s="20">
        <v>4491</v>
      </c>
      <c r="C13" s="21" t="s">
        <v>234</v>
      </c>
      <c r="D13" s="22" t="s">
        <v>234</v>
      </c>
    </row>
    <row r="14" spans="1:4" ht="15.75" hidden="1" x14ac:dyDescent="0.25">
      <c r="A14" s="182" t="s">
        <v>236</v>
      </c>
      <c r="B14" s="20">
        <v>860.2</v>
      </c>
      <c r="C14" s="21"/>
      <c r="D14" s="22"/>
    </row>
    <row r="15" spans="1:4" ht="15.75" x14ac:dyDescent="0.25">
      <c r="A15" s="219" t="s">
        <v>237</v>
      </c>
      <c r="B15" s="23">
        <f>B13+B14</f>
        <v>5351.2</v>
      </c>
      <c r="C15" s="21"/>
      <c r="D15" s="22"/>
    </row>
    <row r="16" spans="1:4" ht="15.75" x14ac:dyDescent="0.25">
      <c r="A16" s="219" t="s">
        <v>238</v>
      </c>
      <c r="B16" s="23">
        <f>1754.5+2367.3/3</f>
        <v>2543.6</v>
      </c>
      <c r="C16" s="21" t="s">
        <v>234</v>
      </c>
      <c r="D16" s="22" t="s">
        <v>234</v>
      </c>
    </row>
    <row r="17" spans="1:7" ht="15.75" hidden="1" x14ac:dyDescent="0.25">
      <c r="A17" s="182" t="s">
        <v>239</v>
      </c>
      <c r="B17" s="20">
        <v>0</v>
      </c>
      <c r="C17" s="21" t="s">
        <v>234</v>
      </c>
      <c r="D17" s="22" t="s">
        <v>234</v>
      </c>
      <c r="E17" s="3"/>
      <c r="F17" s="3"/>
      <c r="G17" s="3"/>
    </row>
    <row r="18" spans="1:7" ht="15.75" hidden="1" x14ac:dyDescent="0.25">
      <c r="A18" s="182" t="s">
        <v>240</v>
      </c>
      <c r="B18" s="20">
        <v>1431.3</v>
      </c>
      <c r="C18" s="21" t="s">
        <v>234</v>
      </c>
      <c r="D18" s="22" t="s">
        <v>234</v>
      </c>
      <c r="E18" s="3"/>
      <c r="F18" s="3"/>
      <c r="G18" s="3"/>
    </row>
    <row r="19" spans="1:7" ht="15.75" hidden="1" x14ac:dyDescent="0.25">
      <c r="A19" s="182" t="s">
        <v>241</v>
      </c>
      <c r="B19" s="20">
        <v>840</v>
      </c>
      <c r="C19" s="21" t="s">
        <v>234</v>
      </c>
      <c r="D19" s="22" t="s">
        <v>234</v>
      </c>
      <c r="E19" s="3"/>
      <c r="F19" s="3"/>
      <c r="G19" s="3"/>
    </row>
    <row r="20" spans="1:7" ht="15.75" hidden="1" x14ac:dyDescent="0.25">
      <c r="A20" s="182" t="s">
        <v>242</v>
      </c>
      <c r="B20" s="20">
        <v>1574.4</v>
      </c>
      <c r="C20" s="21"/>
      <c r="D20" s="22"/>
      <c r="E20" s="3"/>
      <c r="F20" s="3"/>
      <c r="G20" s="3"/>
    </row>
    <row r="21" spans="1:7" ht="15.75" hidden="1" x14ac:dyDescent="0.25">
      <c r="A21" s="182" t="s">
        <v>243</v>
      </c>
      <c r="B21" s="20">
        <v>0</v>
      </c>
      <c r="C21" s="21" t="s">
        <v>234</v>
      </c>
      <c r="D21" s="22" t="s">
        <v>234</v>
      </c>
      <c r="E21" s="3"/>
      <c r="F21" s="3"/>
      <c r="G21" s="3"/>
    </row>
    <row r="22" spans="1:7" ht="15.75" hidden="1" x14ac:dyDescent="0.25">
      <c r="A22" s="182" t="s">
        <v>244</v>
      </c>
      <c r="B22" s="20">
        <v>218</v>
      </c>
      <c r="C22" s="21"/>
      <c r="D22" s="22"/>
      <c r="E22" s="3"/>
      <c r="F22" s="3"/>
      <c r="G22" s="3"/>
    </row>
    <row r="23" spans="1:7" ht="15.75" x14ac:dyDescent="0.25">
      <c r="A23" s="219"/>
      <c r="B23" s="23"/>
      <c r="C23" s="21"/>
      <c r="D23" s="22"/>
      <c r="E23" s="3"/>
      <c r="F23" s="3"/>
      <c r="G23" s="3"/>
    </row>
    <row r="24" spans="1:7" ht="15.75" x14ac:dyDescent="0.25">
      <c r="A24" s="220" t="s">
        <v>319</v>
      </c>
      <c r="B24" s="28">
        <f>VLOOKUP(A5,'[5]Лист  1'!M$1:N$65536,2,FALSE)</f>
        <v>869889.38000000012</v>
      </c>
      <c r="C24" s="21"/>
      <c r="D24" s="22"/>
      <c r="E24" s="3">
        <v>15</v>
      </c>
      <c r="F24" s="3"/>
      <c r="G24" s="3"/>
    </row>
    <row r="25" spans="1:7" ht="15.75" x14ac:dyDescent="0.25">
      <c r="A25" s="220" t="s">
        <v>320</v>
      </c>
      <c r="B25" s="28">
        <f>VLOOKUP(A5,'[5]Лист  1'!M$1:O$65536,3,FALSE)</f>
        <v>802652.5</v>
      </c>
      <c r="C25" s="21"/>
      <c r="D25" s="22"/>
      <c r="E25" s="3"/>
      <c r="F25" s="3"/>
      <c r="G25" s="3"/>
    </row>
    <row r="26" spans="1:7" ht="15.75" x14ac:dyDescent="0.25">
      <c r="A26" s="220" t="s">
        <v>353</v>
      </c>
      <c r="B26" s="28">
        <v>165510</v>
      </c>
      <c r="C26" s="21"/>
      <c r="D26" s="22"/>
      <c r="E26" s="3"/>
      <c r="F26" s="3"/>
      <c r="G26" s="3"/>
    </row>
    <row r="27" spans="1:7" ht="15.75" x14ac:dyDescent="0.25">
      <c r="A27" s="220" t="s">
        <v>354</v>
      </c>
      <c r="B27" s="28">
        <v>118432.27</v>
      </c>
      <c r="C27" s="21"/>
      <c r="D27" s="22"/>
      <c r="E27" s="3"/>
      <c r="F27" s="3"/>
      <c r="G27" s="3"/>
    </row>
    <row r="28" spans="1:7" ht="15.75" x14ac:dyDescent="0.25">
      <c r="A28" s="220" t="s">
        <v>399</v>
      </c>
      <c r="B28" s="28">
        <v>7611.96</v>
      </c>
      <c r="C28" s="21"/>
      <c r="D28" s="22"/>
      <c r="E28" s="3"/>
      <c r="F28" s="3"/>
      <c r="G28" s="3"/>
    </row>
    <row r="29" spans="1:7" ht="15.75" hidden="1" x14ac:dyDescent="0.25">
      <c r="A29" s="220" t="s">
        <v>430</v>
      </c>
      <c r="B29" s="28"/>
      <c r="C29" s="21"/>
      <c r="D29" s="22"/>
      <c r="E29" s="3"/>
      <c r="F29" s="3"/>
      <c r="G29" s="3"/>
    </row>
    <row r="30" spans="1:7" ht="15.75" x14ac:dyDescent="0.25">
      <c r="A30" s="221"/>
      <c r="B30" s="23"/>
      <c r="C30" s="21"/>
      <c r="D30" s="22"/>
      <c r="E30" s="3"/>
      <c r="F30" s="3"/>
      <c r="G30" s="3"/>
    </row>
    <row r="31" spans="1:7" ht="15.75" x14ac:dyDescent="0.25">
      <c r="A31" s="222" t="s">
        <v>251</v>
      </c>
      <c r="B31" s="23"/>
      <c r="C31" s="21"/>
      <c r="D31" s="22"/>
      <c r="E31" s="3"/>
      <c r="F31" s="3"/>
      <c r="G31" s="3"/>
    </row>
    <row r="32" spans="1:7" s="34" customFormat="1" ht="31.5" x14ac:dyDescent="0.25">
      <c r="A32" s="223" t="s">
        <v>252</v>
      </c>
      <c r="B32" s="208">
        <f>SUM(B33:B41)</f>
        <v>518361.04018399998</v>
      </c>
      <c r="C32" s="21"/>
      <c r="D32" s="22"/>
      <c r="E32" s="33">
        <f>(B86-B24-B26)/1.2/1.03</f>
        <v>507855.26976458827</v>
      </c>
      <c r="F32" s="33" t="e">
        <f>(#REF!-#REF!-#REF!)/1.2/1.03</f>
        <v>#REF!</v>
      </c>
      <c r="G32" s="33" t="e">
        <f>(#REF!-#REF!-#REF!)/1.2/1.03</f>
        <v>#REF!</v>
      </c>
    </row>
    <row r="33" spans="1:7" ht="15.75" x14ac:dyDescent="0.25">
      <c r="A33" s="224" t="s">
        <v>253</v>
      </c>
      <c r="B33" s="23">
        <f>54638.36*1.1194</f>
        <v>61162.180183999997</v>
      </c>
      <c r="C33" s="21"/>
      <c r="D33" s="22">
        <v>50038.879999999997</v>
      </c>
      <c r="E33" s="3"/>
      <c r="F33" s="3"/>
      <c r="G33" s="3"/>
    </row>
    <row r="34" spans="1:7" ht="15.75" x14ac:dyDescent="0.25">
      <c r="A34" s="224" t="s">
        <v>257</v>
      </c>
      <c r="B34" s="23">
        <v>141052.39000000001</v>
      </c>
      <c r="C34" s="21"/>
      <c r="D34" s="22">
        <v>0</v>
      </c>
      <c r="E34" s="3"/>
      <c r="F34" s="3"/>
      <c r="G34" s="3"/>
    </row>
    <row r="35" spans="1:7" ht="15.75" x14ac:dyDescent="0.25">
      <c r="A35" s="224" t="s">
        <v>256</v>
      </c>
      <c r="B35" s="23">
        <v>54616.91</v>
      </c>
      <c r="C35" s="21"/>
      <c r="D35" s="22">
        <v>0</v>
      </c>
      <c r="E35" s="3"/>
      <c r="F35" s="3"/>
      <c r="G35" s="3"/>
    </row>
    <row r="36" spans="1:7" ht="15.75" x14ac:dyDescent="0.25">
      <c r="A36" s="224" t="s">
        <v>255</v>
      </c>
      <c r="B36" s="23">
        <v>29696.750000000004</v>
      </c>
      <c r="C36" s="21" t="s">
        <v>234</v>
      </c>
      <c r="D36" s="22">
        <v>0</v>
      </c>
      <c r="E36" s="3"/>
      <c r="F36" s="3"/>
      <c r="G36" s="3"/>
    </row>
    <row r="37" spans="1:7" ht="15.75" x14ac:dyDescent="0.25">
      <c r="A37" s="224" t="s">
        <v>431</v>
      </c>
      <c r="B37" s="23">
        <v>20656.78</v>
      </c>
      <c r="C37" s="21"/>
      <c r="D37" s="22">
        <v>0</v>
      </c>
      <c r="E37" s="3"/>
      <c r="F37" s="3"/>
      <c r="G37" s="3"/>
    </row>
    <row r="38" spans="1:7" ht="15.75" x14ac:dyDescent="0.25">
      <c r="A38" s="224" t="s">
        <v>432</v>
      </c>
      <c r="B38" s="23">
        <v>58298.99</v>
      </c>
      <c r="C38" s="21">
        <v>60000</v>
      </c>
      <c r="D38" s="22">
        <v>0</v>
      </c>
      <c r="E38" s="3" t="s">
        <v>433</v>
      </c>
      <c r="F38" s="3"/>
      <c r="G38" s="3"/>
    </row>
    <row r="39" spans="1:7" ht="15.75" x14ac:dyDescent="0.25">
      <c r="A39" s="224" t="s">
        <v>434</v>
      </c>
      <c r="B39" s="23">
        <v>88084.01</v>
      </c>
      <c r="C39" s="21"/>
      <c r="D39" s="22">
        <v>0</v>
      </c>
      <c r="E39" s="3"/>
      <c r="F39" s="3"/>
      <c r="G39" s="3"/>
    </row>
    <row r="40" spans="1:7" ht="15.75" x14ac:dyDescent="0.25">
      <c r="A40" s="224" t="s">
        <v>343</v>
      </c>
      <c r="B40" s="23">
        <v>31977.11</v>
      </c>
      <c r="C40" s="21"/>
      <c r="D40" s="22"/>
      <c r="E40" s="3"/>
      <c r="F40" s="3"/>
      <c r="G40" s="3"/>
    </row>
    <row r="41" spans="1:7" ht="15.75" x14ac:dyDescent="0.25">
      <c r="A41" s="224" t="s">
        <v>339</v>
      </c>
      <c r="B41" s="23">
        <v>32815.919999999998</v>
      </c>
      <c r="C41" s="21"/>
      <c r="D41" s="22"/>
      <c r="E41" s="3"/>
      <c r="F41" s="3"/>
      <c r="G41" s="3"/>
    </row>
    <row r="42" spans="1:7" s="34" customFormat="1" ht="47.25" x14ac:dyDescent="0.25">
      <c r="A42" s="223" t="s">
        <v>401</v>
      </c>
      <c r="B42" s="208">
        <f>SUM(B43:B45)</f>
        <v>63368.596264111853</v>
      </c>
      <c r="C42" s="21"/>
      <c r="D42" s="22"/>
      <c r="E42" s="33"/>
      <c r="F42" s="33"/>
      <c r="G42" s="33"/>
    </row>
    <row r="43" spans="1:7" ht="15.75" x14ac:dyDescent="0.25">
      <c r="A43" s="35" t="s">
        <v>262</v>
      </c>
      <c r="B43" s="23"/>
      <c r="C43" s="39"/>
      <c r="D43" s="40"/>
      <c r="E43" s="3"/>
      <c r="F43" s="3"/>
      <c r="G43" s="3"/>
    </row>
    <row r="44" spans="1:7" ht="15.75" x14ac:dyDescent="0.25">
      <c r="A44" s="35" t="s">
        <v>263</v>
      </c>
      <c r="B44" s="23">
        <v>31028.68</v>
      </c>
      <c r="C44" s="39"/>
      <c r="D44" s="40"/>
      <c r="E44" s="3"/>
      <c r="F44" s="3"/>
      <c r="G44" s="3"/>
    </row>
    <row r="45" spans="1:7" ht="15.75" x14ac:dyDescent="0.25">
      <c r="A45" s="226" t="s">
        <v>264</v>
      </c>
      <c r="B45" s="23">
        <f>('[6]32тарифы'!D163*B15+484.32)*1.12</f>
        <v>32339.916264111849</v>
      </c>
      <c r="C45" s="39"/>
      <c r="D45" s="40"/>
      <c r="E45" s="3"/>
      <c r="F45" s="3"/>
      <c r="G45" s="3"/>
    </row>
    <row r="46" spans="1:7" s="8" customFormat="1" ht="15.75" x14ac:dyDescent="0.25">
      <c r="A46" s="223" t="s">
        <v>265</v>
      </c>
      <c r="B46" s="208">
        <f>SUM(B47:B65)</f>
        <v>81145.989999999991</v>
      </c>
      <c r="C46" s="21"/>
      <c r="D46" s="22"/>
    </row>
    <row r="47" spans="1:7" ht="15.75" x14ac:dyDescent="0.25">
      <c r="A47" s="224" t="s">
        <v>326</v>
      </c>
      <c r="B47" s="23">
        <v>6011.52</v>
      </c>
      <c r="C47" s="21"/>
      <c r="D47" s="22"/>
      <c r="E47" s="3" t="s">
        <v>267</v>
      </c>
      <c r="F47" s="3"/>
      <c r="G47" s="3"/>
    </row>
    <row r="48" spans="1:7" ht="15.75" x14ac:dyDescent="0.25">
      <c r="A48" s="224" t="s">
        <v>317</v>
      </c>
      <c r="B48" s="23">
        <v>7299.66</v>
      </c>
      <c r="C48" s="21"/>
      <c r="D48" s="22"/>
      <c r="E48" s="3" t="s">
        <v>269</v>
      </c>
      <c r="F48" s="3"/>
      <c r="G48" s="3"/>
    </row>
    <row r="49" spans="1:5" ht="15.75" hidden="1" x14ac:dyDescent="0.25">
      <c r="A49" s="143" t="s">
        <v>350</v>
      </c>
      <c r="B49" s="23"/>
      <c r="C49" s="21"/>
      <c r="D49" s="22"/>
      <c r="E49" s="3"/>
    </row>
    <row r="50" spans="1:5" ht="15.75" hidden="1" x14ac:dyDescent="0.25">
      <c r="A50" s="228" t="s">
        <v>380</v>
      </c>
      <c r="B50" s="20"/>
      <c r="C50" s="21"/>
      <c r="D50" s="22"/>
      <c r="E50" s="3"/>
    </row>
    <row r="51" spans="1:5" ht="15.75" hidden="1" x14ac:dyDescent="0.25">
      <c r="A51" s="143" t="s">
        <v>316</v>
      </c>
      <c r="B51" s="23"/>
      <c r="C51" s="21"/>
      <c r="D51" s="22"/>
      <c r="E51" s="3"/>
    </row>
    <row r="52" spans="1:5" ht="15.75" x14ac:dyDescent="0.25">
      <c r="A52" s="143" t="s">
        <v>282</v>
      </c>
      <c r="B52" s="23">
        <v>307.58</v>
      </c>
      <c r="C52" s="21"/>
      <c r="D52" s="22">
        <v>105.14</v>
      </c>
      <c r="E52" s="3"/>
    </row>
    <row r="53" spans="1:5" ht="15.75" hidden="1" x14ac:dyDescent="0.25">
      <c r="A53" s="228" t="s">
        <v>346</v>
      </c>
      <c r="B53" s="20"/>
      <c r="C53" s="21">
        <v>0</v>
      </c>
      <c r="D53" s="22">
        <v>522.99</v>
      </c>
      <c r="E53" s="3"/>
    </row>
    <row r="54" spans="1:5" ht="15.75" x14ac:dyDescent="0.25">
      <c r="A54" s="188" t="s">
        <v>275</v>
      </c>
      <c r="B54" s="20">
        <v>8133.61</v>
      </c>
      <c r="C54" s="21">
        <v>1</v>
      </c>
      <c r="D54" s="44">
        <v>695.13</v>
      </c>
      <c r="E54" s="3"/>
    </row>
    <row r="55" spans="1:5" ht="15.75" hidden="1" x14ac:dyDescent="0.25">
      <c r="A55" s="143" t="s">
        <v>416</v>
      </c>
      <c r="B55" s="23"/>
      <c r="C55" s="21"/>
      <c r="D55" s="44"/>
      <c r="E55" s="3"/>
    </row>
    <row r="56" spans="1:5" ht="17.25" customHeight="1" x14ac:dyDescent="0.25">
      <c r="A56" s="143" t="s">
        <v>540</v>
      </c>
      <c r="B56" s="23">
        <v>23131.83</v>
      </c>
      <c r="C56" s="21">
        <v>0</v>
      </c>
      <c r="D56" s="22">
        <f>10695.76/1.18</f>
        <v>9064.203389830509</v>
      </c>
      <c r="E56" s="3"/>
    </row>
    <row r="57" spans="1:5" ht="15.75" x14ac:dyDescent="0.25">
      <c r="A57" s="143" t="s">
        <v>542</v>
      </c>
      <c r="B57" s="23">
        <v>4200</v>
      </c>
      <c r="C57" s="21">
        <v>0</v>
      </c>
      <c r="D57" s="22">
        <f>2300/1.18</f>
        <v>1949.1525423728815</v>
      </c>
      <c r="E57" s="3"/>
    </row>
    <row r="58" spans="1:5" ht="15.75" x14ac:dyDescent="0.25">
      <c r="A58" s="228" t="s">
        <v>283</v>
      </c>
      <c r="B58" s="20">
        <v>32061.79</v>
      </c>
      <c r="C58" s="21">
        <v>0</v>
      </c>
      <c r="D58" s="22">
        <v>0</v>
      </c>
      <c r="E58" s="3"/>
    </row>
    <row r="59" spans="1:5" ht="15.75" hidden="1" x14ac:dyDescent="0.25">
      <c r="A59" s="228" t="s">
        <v>279</v>
      </c>
      <c r="B59" s="20">
        <f>B13*'[6]32тарифы'!D184</f>
        <v>0</v>
      </c>
      <c r="C59" s="21"/>
      <c r="D59" s="22"/>
      <c r="E59" s="227">
        <f>B80+B46-B59+895.84</f>
        <v>103999.37999999999</v>
      </c>
    </row>
    <row r="60" spans="1:5" ht="15.75" hidden="1" x14ac:dyDescent="0.25">
      <c r="A60" s="187" t="s">
        <v>351</v>
      </c>
      <c r="B60" s="20"/>
      <c r="C60" s="21"/>
      <c r="D60" s="22"/>
      <c r="E60" s="3"/>
    </row>
    <row r="61" spans="1:5" ht="15.75" hidden="1" x14ac:dyDescent="0.25">
      <c r="A61" s="187" t="s">
        <v>281</v>
      </c>
      <c r="B61" s="20"/>
      <c r="C61" s="21"/>
      <c r="D61" s="22">
        <v>0</v>
      </c>
      <c r="E61" s="3"/>
    </row>
    <row r="62" spans="1:5" ht="15.75" hidden="1" x14ac:dyDescent="0.25">
      <c r="A62" s="225" t="s">
        <v>352</v>
      </c>
      <c r="B62" s="20"/>
      <c r="C62" s="21"/>
      <c r="D62" s="22">
        <v>0</v>
      </c>
      <c r="E62" s="3"/>
    </row>
    <row r="63" spans="1:5" ht="15.75" hidden="1" x14ac:dyDescent="0.25">
      <c r="A63" s="224" t="s">
        <v>327</v>
      </c>
      <c r="B63" s="229"/>
      <c r="C63" s="46">
        <v>1</v>
      </c>
      <c r="D63" s="22">
        <v>0</v>
      </c>
      <c r="E63" s="3"/>
    </row>
    <row r="64" spans="1:5" ht="15.75" hidden="1" x14ac:dyDescent="0.25">
      <c r="A64" s="187" t="s">
        <v>284</v>
      </c>
      <c r="B64" s="112"/>
      <c r="C64" s="46">
        <v>94</v>
      </c>
      <c r="D64" s="22">
        <v>2</v>
      </c>
      <c r="E64" s="3">
        <v>1</v>
      </c>
    </row>
    <row r="65" spans="1:4" ht="15.75" hidden="1" x14ac:dyDescent="0.25">
      <c r="A65" s="187" t="s">
        <v>285</v>
      </c>
      <c r="B65" s="112"/>
      <c r="C65" s="48"/>
      <c r="D65" s="40">
        <v>0</v>
      </c>
    </row>
    <row r="66" spans="1:4" s="8" customFormat="1" ht="15.75" x14ac:dyDescent="0.25">
      <c r="A66" s="230" t="s">
        <v>286</v>
      </c>
      <c r="B66" s="208">
        <f>SUM(B67:B74)</f>
        <v>327576.70383144455</v>
      </c>
      <c r="C66" s="39"/>
      <c r="D66" s="40"/>
    </row>
    <row r="67" spans="1:4" ht="15.75" hidden="1" x14ac:dyDescent="0.25">
      <c r="A67" s="187" t="s">
        <v>287</v>
      </c>
      <c r="B67" s="20"/>
      <c r="C67" s="39"/>
      <c r="D67" s="40"/>
    </row>
    <row r="68" spans="1:4" ht="15.75" x14ac:dyDescent="0.25">
      <c r="A68" s="224" t="s">
        <v>288</v>
      </c>
      <c r="B68" s="232">
        <f>1.04*96568.65*1.12</f>
        <v>112483.16352</v>
      </c>
      <c r="C68" s="39"/>
      <c r="D68" s="40"/>
    </row>
    <row r="69" spans="1:4" ht="15.75" hidden="1" x14ac:dyDescent="0.25">
      <c r="A69" s="187" t="s">
        <v>289</v>
      </c>
      <c r="B69" s="20"/>
      <c r="C69" s="39"/>
      <c r="D69" s="40"/>
    </row>
    <row r="70" spans="1:4" ht="15.75" x14ac:dyDescent="0.25">
      <c r="A70" s="226" t="s">
        <v>290</v>
      </c>
      <c r="B70" s="23">
        <f>'[6]32тарифы'!D164*B13*1.12</f>
        <v>5545.3465848709211</v>
      </c>
      <c r="C70" s="39"/>
      <c r="D70" s="40"/>
    </row>
    <row r="71" spans="1:4" ht="15.75" x14ac:dyDescent="0.25">
      <c r="A71" s="226" t="s">
        <v>291</v>
      </c>
      <c r="B71" s="23">
        <f>4.62*B15</f>
        <v>24722.543999999998</v>
      </c>
      <c r="C71" s="39"/>
      <c r="D71" s="40"/>
    </row>
    <row r="72" spans="1:4" ht="15.75" x14ac:dyDescent="0.25">
      <c r="A72" s="226" t="s">
        <v>292</v>
      </c>
      <c r="B72" s="23">
        <f>16.14*B15</f>
        <v>86368.368000000002</v>
      </c>
      <c r="C72" s="39"/>
      <c r="D72" s="40"/>
    </row>
    <row r="73" spans="1:4" ht="15.75" x14ac:dyDescent="0.25">
      <c r="A73" s="226" t="s">
        <v>293</v>
      </c>
      <c r="B73" s="23">
        <f>1.04*9273.83327315732*1.12</f>
        <v>10802.160996573646</v>
      </c>
      <c r="C73" s="39"/>
      <c r="D73" s="40"/>
    </row>
    <row r="74" spans="1:4" ht="15.75" x14ac:dyDescent="0.25">
      <c r="A74" s="226" t="s">
        <v>294</v>
      </c>
      <c r="B74" s="23">
        <f>78305.45*1.1194</f>
        <v>87655.120729999995</v>
      </c>
      <c r="C74" s="39"/>
      <c r="D74" s="40"/>
    </row>
    <row r="75" spans="1:4" ht="63" x14ac:dyDescent="0.25">
      <c r="A75" s="233" t="s">
        <v>295</v>
      </c>
      <c r="B75" s="208">
        <f>SUM(B76:B76)</f>
        <v>152757.40980999998</v>
      </c>
      <c r="C75" s="39"/>
      <c r="D75" s="40"/>
    </row>
    <row r="76" spans="1:4" ht="15.75" x14ac:dyDescent="0.25">
      <c r="A76" s="226" t="s">
        <v>296</v>
      </c>
      <c r="B76" s="23">
        <f>136463.65*1.1194</f>
        <v>152757.40980999998</v>
      </c>
      <c r="C76" s="39"/>
      <c r="D76" s="40"/>
    </row>
    <row r="77" spans="1:4" s="8" customFormat="1" ht="15.75" x14ac:dyDescent="0.25">
      <c r="A77" s="230" t="s">
        <v>297</v>
      </c>
      <c r="B77" s="208">
        <f>SUM(B78:B81)</f>
        <v>202347.29342907752</v>
      </c>
      <c r="C77" s="39"/>
      <c r="D77" s="40"/>
    </row>
    <row r="78" spans="1:4" ht="15.75" x14ac:dyDescent="0.25">
      <c r="A78" s="234" t="s">
        <v>298</v>
      </c>
      <c r="B78" s="23">
        <f>'[6]32тарифы'!D170*B15*1.12</f>
        <v>129145.41526307754</v>
      </c>
      <c r="C78" s="39"/>
      <c r="D78" s="40"/>
    </row>
    <row r="79" spans="1:4" ht="24" customHeight="1" x14ac:dyDescent="0.25">
      <c r="A79" s="234" t="s">
        <v>299</v>
      </c>
      <c r="B79" s="232">
        <f>B26/1.2*30%</f>
        <v>41377.5</v>
      </c>
      <c r="C79" s="39"/>
      <c r="D79" s="40"/>
    </row>
    <row r="80" spans="1:4" ht="15.75" x14ac:dyDescent="0.25">
      <c r="A80" s="235" t="s">
        <v>300</v>
      </c>
      <c r="B80" s="23">
        <f>13087.73+8869.82</f>
        <v>21957.55</v>
      </c>
      <c r="C80" s="39"/>
      <c r="D80" s="40"/>
    </row>
    <row r="81" spans="1:4" ht="15.75" x14ac:dyDescent="0.25">
      <c r="A81" s="235" t="s">
        <v>301</v>
      </c>
      <c r="B81" s="23">
        <f>8814.39*1.1194</f>
        <v>9866.8281659999993</v>
      </c>
      <c r="C81" s="39"/>
      <c r="D81" s="40"/>
    </row>
    <row r="82" spans="1:4" ht="15.75" x14ac:dyDescent="0.25">
      <c r="A82" s="236" t="s">
        <v>302</v>
      </c>
      <c r="B82" s="28">
        <f>B32+B42+B46+B66+B75+B77</f>
        <v>1345557.0335186338</v>
      </c>
      <c r="C82" s="39"/>
      <c r="D82" s="40"/>
    </row>
    <row r="83" spans="1:4" ht="15.75" x14ac:dyDescent="0.25">
      <c r="A83" s="237" t="s">
        <v>303</v>
      </c>
      <c r="B83" s="23">
        <f>B82*0.03</f>
        <v>40366.711005559009</v>
      </c>
      <c r="C83" s="39"/>
      <c r="D83" s="40"/>
    </row>
    <row r="84" spans="1:4" s="34" customFormat="1" ht="15.75" x14ac:dyDescent="0.25">
      <c r="A84" s="238" t="s">
        <v>304</v>
      </c>
      <c r="B84" s="208">
        <f>B82+B83</f>
        <v>1385923.7445241928</v>
      </c>
      <c r="C84" s="39"/>
      <c r="D84" s="40"/>
    </row>
    <row r="85" spans="1:4" ht="16.5" thickBot="1" x14ac:dyDescent="0.3">
      <c r="A85" s="239" t="s">
        <v>305</v>
      </c>
      <c r="B85" s="240">
        <f>B84*0.2</f>
        <v>277184.74890483858</v>
      </c>
      <c r="C85" s="39"/>
      <c r="D85" s="40"/>
    </row>
    <row r="86" spans="1:4" s="8" customFormat="1" ht="16.5" thickBot="1" x14ac:dyDescent="0.3">
      <c r="A86" s="58" t="s">
        <v>306</v>
      </c>
      <c r="B86" s="66">
        <f>B84+B85</f>
        <v>1663108.4934290312</v>
      </c>
      <c r="C86" s="60"/>
      <c r="D86" s="61"/>
    </row>
    <row r="87" spans="1:4" s="8" customFormat="1" ht="16.5" thickBot="1" x14ac:dyDescent="0.3">
      <c r="A87" s="62" t="s">
        <v>307</v>
      </c>
      <c r="B87" s="296">
        <f>B10+B24+B26+B28+B29-B86</f>
        <v>-1397062.763429031</v>
      </c>
      <c r="C87" s="63"/>
      <c r="D87" s="63"/>
    </row>
    <row r="88" spans="1:4" s="8" customFormat="1" ht="16.5" thickBot="1" x14ac:dyDescent="0.3">
      <c r="A88" s="64" t="s">
        <v>308</v>
      </c>
      <c r="B88" s="66">
        <f>B10+B25+B27+B28+B29-B86</f>
        <v>-1511377.3734290311</v>
      </c>
      <c r="C88" s="63"/>
      <c r="D88" s="63"/>
    </row>
    <row r="89" spans="1:4" s="8" customFormat="1" ht="16.5" hidden="1" thickBot="1" x14ac:dyDescent="0.3">
      <c r="A89" s="241" t="s">
        <v>309</v>
      </c>
      <c r="B89" s="66">
        <f>B11+B24-B25</f>
        <v>67236.880000000121</v>
      </c>
      <c r="C89" s="63"/>
      <c r="D89" s="63"/>
    </row>
    <row r="90" spans="1:4" ht="15.75" x14ac:dyDescent="0.25">
      <c r="A90" s="3"/>
      <c r="B90" s="227"/>
      <c r="C90" s="3"/>
      <c r="D90" s="3"/>
    </row>
    <row r="91" spans="1:4" ht="15.75" x14ac:dyDescent="0.25">
      <c r="A91" s="69"/>
      <c r="B91" s="3"/>
      <c r="C91" s="3"/>
      <c r="D91" s="3"/>
    </row>
    <row r="92" spans="1:4" ht="15.75" x14ac:dyDescent="0.25">
      <c r="A92" s="333" t="s">
        <v>407</v>
      </c>
      <c r="B92" s="333"/>
      <c r="C92" s="3"/>
      <c r="D92" s="3"/>
    </row>
    <row r="93" spans="1:4" ht="15.75" x14ac:dyDescent="0.25">
      <c r="A93" s="69"/>
      <c r="B93" s="3"/>
      <c r="C93" s="3"/>
      <c r="D93" s="3"/>
    </row>
    <row r="94" spans="1:4" ht="15.75" hidden="1" x14ac:dyDescent="0.25">
      <c r="A94" s="342" t="s">
        <v>408</v>
      </c>
      <c r="B94" s="342"/>
      <c r="C94" s="72"/>
      <c r="D94" s="3"/>
    </row>
    <row r="95" spans="1:4" ht="15.75" x14ac:dyDescent="0.25">
      <c r="A95" s="3"/>
      <c r="B95" s="3"/>
      <c r="C95" s="3"/>
      <c r="D95" s="3"/>
    </row>
  </sheetData>
  <autoFilter ref="A32:G32" xr:uid="{00000000-0009-0000-0000-000039000000}"/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66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filterMode="1">
    <pageSetUpPr fitToPage="1"/>
  </sheetPr>
  <dimension ref="A1:G95"/>
  <sheetViews>
    <sheetView view="pageBreakPreview" topLeftCell="A36" zoomScale="75" zoomScaleNormal="100" zoomScaleSheetLayoutView="75" workbookViewId="0">
      <selection activeCell="B81" sqref="B81"/>
    </sheetView>
  </sheetViews>
  <sheetFormatPr defaultRowHeight="12.75" x14ac:dyDescent="0.2"/>
  <cols>
    <col min="1" max="1" width="96.42578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4" bestFit="1" customWidth="1"/>
  </cols>
  <sheetData>
    <row r="1" spans="1:4" ht="16.5" customHeight="1" x14ac:dyDescent="0.25">
      <c r="A1" s="313" t="s">
        <v>224</v>
      </c>
      <c r="B1" s="313"/>
      <c r="C1" s="3"/>
      <c r="D1" s="3"/>
    </row>
    <row r="2" spans="1:4" ht="16.5" x14ac:dyDescent="0.25">
      <c r="A2" s="315" t="s">
        <v>225</v>
      </c>
      <c r="B2" s="315"/>
      <c r="C2" s="3"/>
      <c r="D2" s="3"/>
    </row>
    <row r="3" spans="1:4" ht="16.5" x14ac:dyDescent="0.25">
      <c r="A3" s="315" t="s">
        <v>226</v>
      </c>
      <c r="B3" s="315"/>
      <c r="C3" s="3"/>
      <c r="D3" s="3"/>
    </row>
    <row r="4" spans="1:4" ht="15.75" x14ac:dyDescent="0.25">
      <c r="A4" s="4" t="s">
        <v>516</v>
      </c>
      <c r="B4" s="4"/>
      <c r="C4" s="3"/>
      <c r="D4" s="3"/>
    </row>
    <row r="5" spans="1:4" ht="15.75" x14ac:dyDescent="0.25">
      <c r="A5" s="4" t="s">
        <v>124</v>
      </c>
      <c r="B5" s="4"/>
      <c r="C5" s="3"/>
      <c r="D5" s="3"/>
    </row>
    <row r="6" spans="1:4" ht="5.25" customHeight="1" x14ac:dyDescent="0.25">
      <c r="A6" s="4"/>
      <c r="B6" s="8"/>
      <c r="C6" s="8"/>
      <c r="D6" s="3"/>
    </row>
    <row r="7" spans="1:4" ht="16.5" thickBot="1" x14ac:dyDescent="0.3">
      <c r="A7" s="9"/>
      <c r="B7" s="8"/>
      <c r="C7" s="8"/>
      <c r="D7" s="3"/>
    </row>
    <row r="8" spans="1:4" ht="15.75" customHeight="1" x14ac:dyDescent="0.2">
      <c r="A8" s="335" t="s">
        <v>227</v>
      </c>
      <c r="B8" s="337" t="s">
        <v>228</v>
      </c>
      <c r="C8" s="307" t="s">
        <v>229</v>
      </c>
      <c r="D8" s="307" t="s">
        <v>230</v>
      </c>
    </row>
    <row r="9" spans="1:4" ht="28.5" customHeight="1" thickBot="1" x14ac:dyDescent="0.25">
      <c r="A9" s="336"/>
      <c r="B9" s="338"/>
      <c r="C9" s="308"/>
      <c r="D9" s="308"/>
    </row>
    <row r="10" spans="1:4" s="212" customFormat="1" ht="16.5" thickBot="1" x14ac:dyDescent="0.3">
      <c r="A10" s="209" t="s">
        <v>231</v>
      </c>
      <c r="B10" s="302">
        <f>VLOOKUP(A5,мкд!S:T,2,FALSE)</f>
        <v>-544290.42000000004</v>
      </c>
      <c r="C10" s="211"/>
      <c r="D10" s="211"/>
    </row>
    <row r="11" spans="1:4" s="212" customFormat="1" ht="16.5" hidden="1" thickBot="1" x14ac:dyDescent="0.3">
      <c r="A11" s="213" t="s">
        <v>232</v>
      </c>
      <c r="B11" s="214"/>
      <c r="C11" s="215"/>
      <c r="D11" s="215"/>
    </row>
    <row r="12" spans="1:4" ht="15.75" x14ac:dyDescent="0.25">
      <c r="A12" s="216" t="s">
        <v>233</v>
      </c>
      <c r="B12" s="217"/>
      <c r="C12" s="17" t="s">
        <v>234</v>
      </c>
      <c r="D12" s="18" t="s">
        <v>234</v>
      </c>
    </row>
    <row r="13" spans="1:4" ht="15.75" hidden="1" x14ac:dyDescent="0.25">
      <c r="A13" s="182" t="s">
        <v>235</v>
      </c>
      <c r="B13" s="20">
        <v>5540.8</v>
      </c>
      <c r="C13" s="21" t="s">
        <v>234</v>
      </c>
      <c r="D13" s="22" t="s">
        <v>234</v>
      </c>
    </row>
    <row r="14" spans="1:4" ht="15.75" hidden="1" x14ac:dyDescent="0.25">
      <c r="A14" s="182" t="s">
        <v>236</v>
      </c>
      <c r="B14" s="20">
        <v>2833.9</v>
      </c>
      <c r="C14" s="21"/>
      <c r="D14" s="22"/>
    </row>
    <row r="15" spans="1:4" ht="15.75" x14ac:dyDescent="0.25">
      <c r="A15" s="219" t="s">
        <v>237</v>
      </c>
      <c r="B15" s="23">
        <f>B13+B14</f>
        <v>8374.7000000000007</v>
      </c>
      <c r="C15" s="21"/>
      <c r="D15" s="22"/>
    </row>
    <row r="16" spans="1:4" ht="15.75" x14ac:dyDescent="0.25">
      <c r="A16" s="219" t="s">
        <v>238</v>
      </c>
      <c r="B16" s="23">
        <f>2718.8+846.3/3</f>
        <v>3000.9</v>
      </c>
      <c r="C16" s="21" t="s">
        <v>234</v>
      </c>
      <c r="D16" s="22" t="s">
        <v>234</v>
      </c>
    </row>
    <row r="17" spans="1:7" ht="15.75" hidden="1" x14ac:dyDescent="0.25">
      <c r="A17" s="182" t="s">
        <v>239</v>
      </c>
      <c r="B17" s="20">
        <v>0</v>
      </c>
      <c r="C17" s="21" t="s">
        <v>234</v>
      </c>
      <c r="D17" s="22" t="s">
        <v>234</v>
      </c>
      <c r="E17" s="3"/>
      <c r="F17" s="3"/>
      <c r="G17" s="3"/>
    </row>
    <row r="18" spans="1:7" ht="15.75" hidden="1" x14ac:dyDescent="0.25">
      <c r="A18" s="182" t="s">
        <v>240</v>
      </c>
      <c r="B18" s="20">
        <v>1901</v>
      </c>
      <c r="C18" s="21" t="s">
        <v>234</v>
      </c>
      <c r="D18" s="22" t="s">
        <v>234</v>
      </c>
      <c r="E18" s="3"/>
      <c r="F18" s="3"/>
      <c r="G18" s="3"/>
    </row>
    <row r="19" spans="1:7" ht="15.75" hidden="1" x14ac:dyDescent="0.25">
      <c r="A19" s="182" t="s">
        <v>241</v>
      </c>
      <c r="B19" s="20">
        <v>0</v>
      </c>
      <c r="C19" s="21" t="s">
        <v>234</v>
      </c>
      <c r="D19" s="22" t="s">
        <v>234</v>
      </c>
      <c r="E19" s="3"/>
      <c r="F19" s="3"/>
      <c r="G19" s="3"/>
    </row>
    <row r="20" spans="1:7" ht="15.75" hidden="1" x14ac:dyDescent="0.25">
      <c r="A20" s="182" t="s">
        <v>242</v>
      </c>
      <c r="B20" s="20">
        <v>1986.3</v>
      </c>
      <c r="C20" s="21"/>
      <c r="D20" s="22"/>
      <c r="E20" s="3"/>
      <c r="F20" s="3"/>
      <c r="G20" s="3"/>
    </row>
    <row r="21" spans="1:7" ht="15.75" hidden="1" x14ac:dyDescent="0.25">
      <c r="A21" s="182" t="s">
        <v>243</v>
      </c>
      <c r="B21" s="20">
        <v>0</v>
      </c>
      <c r="C21" s="21" t="s">
        <v>234</v>
      </c>
      <c r="D21" s="22" t="s">
        <v>234</v>
      </c>
      <c r="E21" s="3"/>
      <c r="F21" s="3"/>
      <c r="G21" s="3"/>
    </row>
    <row r="22" spans="1:7" ht="15.75" hidden="1" x14ac:dyDescent="0.25">
      <c r="A22" s="182" t="s">
        <v>244</v>
      </c>
      <c r="B22" s="20">
        <v>288</v>
      </c>
      <c r="C22" s="21"/>
      <c r="D22" s="22"/>
      <c r="E22" s="3"/>
      <c r="F22" s="3"/>
      <c r="G22" s="3"/>
    </row>
    <row r="23" spans="1:7" ht="15.75" x14ac:dyDescent="0.25">
      <c r="A23" s="219"/>
      <c r="B23" s="23"/>
      <c r="C23" s="21"/>
      <c r="D23" s="22"/>
      <c r="E23" s="3">
        <v>10</v>
      </c>
      <c r="F23" s="3">
        <v>2</v>
      </c>
      <c r="G23" s="3"/>
    </row>
    <row r="24" spans="1:7" ht="15.75" x14ac:dyDescent="0.25">
      <c r="A24" s="220" t="s">
        <v>319</v>
      </c>
      <c r="B24" s="28">
        <f>VLOOKUP(A5,'[5]Лист  1'!M$1:N$65536,2,FALSE)</f>
        <v>1048812.04</v>
      </c>
      <c r="C24" s="21"/>
      <c r="D24" s="22"/>
      <c r="E24" s="3">
        <v>15.4800000124</v>
      </c>
      <c r="F24" s="3">
        <v>17.328312013880559</v>
      </c>
      <c r="G24" s="3"/>
    </row>
    <row r="25" spans="1:7" ht="15.75" x14ac:dyDescent="0.25">
      <c r="A25" s="220" t="s">
        <v>320</v>
      </c>
      <c r="B25" s="28">
        <f>VLOOKUP(A5,'[5]Лист  1'!M$1:O$65536,3,FALSE)</f>
        <v>1028552.72</v>
      </c>
      <c r="C25" s="21"/>
      <c r="D25" s="22"/>
      <c r="E25" s="3"/>
      <c r="F25" s="3"/>
      <c r="G25" s="3"/>
    </row>
    <row r="26" spans="1:7" ht="15.75" x14ac:dyDescent="0.25">
      <c r="A26" s="220" t="s">
        <v>353</v>
      </c>
      <c r="B26" s="28">
        <v>558547.03</v>
      </c>
      <c r="C26" s="21"/>
      <c r="D26" s="22"/>
      <c r="E26" s="3"/>
      <c r="F26" s="3"/>
      <c r="G26" s="3"/>
    </row>
    <row r="27" spans="1:7" ht="15.75" x14ac:dyDescent="0.25">
      <c r="A27" s="220" t="s">
        <v>354</v>
      </c>
      <c r="B27" s="28">
        <v>353788.46</v>
      </c>
      <c r="C27" s="21"/>
      <c r="D27" s="22"/>
      <c r="E27" s="3"/>
      <c r="F27" s="3"/>
      <c r="G27" s="3"/>
    </row>
    <row r="28" spans="1:7" ht="15.75" x14ac:dyDescent="0.25">
      <c r="A28" s="220" t="s">
        <v>399</v>
      </c>
      <c r="B28" s="28">
        <v>9290.0400000000009</v>
      </c>
      <c r="C28" s="21"/>
      <c r="D28" s="22"/>
      <c r="E28" s="3"/>
      <c r="F28" s="3"/>
      <c r="G28" s="3"/>
    </row>
    <row r="29" spans="1:7" ht="15.75" hidden="1" x14ac:dyDescent="0.25">
      <c r="A29" s="220" t="s">
        <v>374</v>
      </c>
      <c r="B29" s="28"/>
      <c r="C29" s="21"/>
      <c r="D29" s="22"/>
      <c r="E29" s="3"/>
      <c r="F29" s="3"/>
      <c r="G29" s="3"/>
    </row>
    <row r="30" spans="1:7" ht="15.75" x14ac:dyDescent="0.25">
      <c r="A30" s="221"/>
      <c r="B30" s="23"/>
      <c r="C30" s="21"/>
      <c r="D30" s="22"/>
      <c r="E30" s="3"/>
      <c r="F30" s="3"/>
      <c r="G30" s="3"/>
    </row>
    <row r="31" spans="1:7" ht="15.75" x14ac:dyDescent="0.25">
      <c r="A31" s="222" t="s">
        <v>251</v>
      </c>
      <c r="B31" s="23" t="s">
        <v>406</v>
      </c>
      <c r="C31" s="21"/>
      <c r="D31" s="22"/>
      <c r="E31" s="3"/>
      <c r="F31" s="3"/>
      <c r="G31" s="3"/>
    </row>
    <row r="32" spans="1:7" s="34" customFormat="1" ht="31.5" x14ac:dyDescent="0.25">
      <c r="A32" s="223" t="s">
        <v>252</v>
      </c>
      <c r="B32" s="208">
        <f>SUM(B33:B41)</f>
        <v>341129.60000000003</v>
      </c>
      <c r="C32" s="21"/>
      <c r="D32" s="22"/>
      <c r="E32" s="33">
        <f>(B86-B24-B26)/1.2/1.03</f>
        <v>425056.74342907686</v>
      </c>
      <c r="F32" s="33" t="e">
        <f>(#REF!-#REF!-#REF!)/1.2/1.03</f>
        <v>#REF!</v>
      </c>
      <c r="G32" s="33" t="e">
        <f>(#REF!-#REF!-#REF!)/1.2/1.03</f>
        <v>#REF!</v>
      </c>
    </row>
    <row r="33" spans="1:7" ht="15.75" x14ac:dyDescent="0.25">
      <c r="A33" s="224" t="s">
        <v>253</v>
      </c>
      <c r="B33" s="23">
        <v>110732.69</v>
      </c>
      <c r="C33" s="21"/>
      <c r="D33" s="22">
        <v>60037.19</v>
      </c>
      <c r="E33" s="3"/>
      <c r="F33" s="3"/>
      <c r="G33" s="3"/>
    </row>
    <row r="34" spans="1:7" ht="15.75" x14ac:dyDescent="0.25">
      <c r="A34" s="225" t="s">
        <v>343</v>
      </c>
      <c r="B34" s="20">
        <v>122468.4</v>
      </c>
      <c r="C34" s="21"/>
      <c r="D34" s="22">
        <v>0</v>
      </c>
      <c r="E34" s="3"/>
      <c r="F34" s="3"/>
      <c r="G34" s="3"/>
    </row>
    <row r="35" spans="1:7" ht="15.75" x14ac:dyDescent="0.25">
      <c r="A35" s="225" t="s">
        <v>256</v>
      </c>
      <c r="B35" s="20">
        <v>47916.56</v>
      </c>
      <c r="C35" s="21"/>
      <c r="D35" s="22">
        <v>0</v>
      </c>
      <c r="E35" s="3"/>
      <c r="F35" s="3"/>
      <c r="G35" s="3"/>
    </row>
    <row r="36" spans="1:7" ht="15.75" x14ac:dyDescent="0.25">
      <c r="A36" s="224" t="s">
        <v>255</v>
      </c>
      <c r="B36" s="23">
        <v>60011.95</v>
      </c>
      <c r="C36" s="21" t="s">
        <v>234</v>
      </c>
      <c r="D36" s="22">
        <v>0</v>
      </c>
      <c r="E36" s="3"/>
      <c r="F36" s="3"/>
      <c r="G36" s="3"/>
    </row>
    <row r="37" spans="1:7" ht="15.75" hidden="1" x14ac:dyDescent="0.25">
      <c r="A37" s="225" t="s">
        <v>257</v>
      </c>
      <c r="B37" s="20"/>
      <c r="C37" s="21"/>
      <c r="D37" s="22">
        <v>0</v>
      </c>
      <c r="E37" s="3"/>
      <c r="F37" s="3"/>
      <c r="G37" s="3"/>
    </row>
    <row r="38" spans="1:7" ht="15.75" hidden="1" x14ac:dyDescent="0.25">
      <c r="A38" s="224" t="s">
        <v>258</v>
      </c>
      <c r="B38" s="23"/>
      <c r="C38" s="21"/>
      <c r="D38" s="22">
        <v>0</v>
      </c>
      <c r="E38" s="3"/>
      <c r="F38" s="3"/>
      <c r="G38" s="3"/>
    </row>
    <row r="39" spans="1:7" ht="15.75" hidden="1" x14ac:dyDescent="0.25">
      <c r="A39" s="187" t="s">
        <v>259</v>
      </c>
      <c r="B39" s="20"/>
      <c r="C39" s="21"/>
      <c r="D39" s="22">
        <v>0</v>
      </c>
      <c r="E39" s="3"/>
      <c r="F39" s="3"/>
      <c r="G39" s="3"/>
    </row>
    <row r="40" spans="1:7" ht="15.75" hidden="1" x14ac:dyDescent="0.25">
      <c r="A40" s="187" t="s">
        <v>425</v>
      </c>
      <c r="B40" s="20"/>
      <c r="C40" s="21"/>
      <c r="D40" s="22"/>
      <c r="E40" s="3"/>
      <c r="F40" s="3"/>
      <c r="G40" s="3"/>
    </row>
    <row r="41" spans="1:7" ht="15.75" hidden="1" x14ac:dyDescent="0.25">
      <c r="A41" s="35" t="s">
        <v>343</v>
      </c>
      <c r="B41" s="23"/>
      <c r="C41" s="21"/>
      <c r="D41" s="22"/>
      <c r="E41" s="3"/>
      <c r="F41" s="3"/>
      <c r="G41" s="3"/>
    </row>
    <row r="42" spans="1:7" s="34" customFormat="1" ht="47.25" x14ac:dyDescent="0.25">
      <c r="A42" s="223" t="s">
        <v>401</v>
      </c>
      <c r="B42" s="208">
        <f>SUM(B43:B45)</f>
        <v>247541.92</v>
      </c>
      <c r="C42" s="21"/>
      <c r="D42" s="22"/>
      <c r="E42" s="33"/>
      <c r="F42" s="33"/>
      <c r="G42" s="33"/>
    </row>
    <row r="43" spans="1:7" ht="15.75" x14ac:dyDescent="0.25">
      <c r="A43" s="35" t="s">
        <v>262</v>
      </c>
      <c r="B43" s="23">
        <v>70274.260000000009</v>
      </c>
      <c r="C43" s="39"/>
      <c r="D43" s="40"/>
      <c r="E43" s="3"/>
      <c r="F43" s="3"/>
      <c r="G43" s="3"/>
    </row>
    <row r="44" spans="1:7" ht="15.75" x14ac:dyDescent="0.25">
      <c r="A44" s="35" t="s">
        <v>263</v>
      </c>
      <c r="B44" s="23">
        <v>116664.45999999999</v>
      </c>
      <c r="C44" s="39"/>
      <c r="D44" s="40"/>
      <c r="E44" s="3"/>
      <c r="F44" s="3"/>
      <c r="G44" s="3"/>
    </row>
    <row r="45" spans="1:7" ht="15.75" x14ac:dyDescent="0.25">
      <c r="A45" s="226" t="s">
        <v>264</v>
      </c>
      <c r="B45" s="23">
        <f>54110*1.12</f>
        <v>60603.200000000004</v>
      </c>
      <c r="C45" s="39"/>
      <c r="D45" s="40"/>
      <c r="E45" s="3"/>
      <c r="F45" s="3"/>
      <c r="G45" s="3"/>
    </row>
    <row r="46" spans="1:7" s="8" customFormat="1" ht="15.75" x14ac:dyDescent="0.25">
      <c r="A46" s="223" t="s">
        <v>265</v>
      </c>
      <c r="B46" s="208">
        <f>SUM(B47:B65)</f>
        <v>90084.17</v>
      </c>
      <c r="C46" s="21"/>
      <c r="D46" s="22"/>
    </row>
    <row r="47" spans="1:7" ht="15.75" x14ac:dyDescent="0.25">
      <c r="A47" s="224" t="s">
        <v>326</v>
      </c>
      <c r="B47" s="229">
        <v>4182.2</v>
      </c>
      <c r="C47" s="21"/>
      <c r="D47" s="22"/>
      <c r="E47" s="3" t="s">
        <v>267</v>
      </c>
      <c r="F47" s="3"/>
      <c r="G47" s="3"/>
    </row>
    <row r="48" spans="1:7" ht="15.75" x14ac:dyDescent="0.25">
      <c r="A48" s="224" t="s">
        <v>317</v>
      </c>
      <c r="B48" s="229">
        <v>12343.02</v>
      </c>
      <c r="C48" s="21"/>
      <c r="D48" s="22"/>
      <c r="E48" s="3" t="s">
        <v>269</v>
      </c>
      <c r="F48" s="3"/>
      <c r="G48" s="3"/>
    </row>
    <row r="49" spans="1:5" ht="15.75" hidden="1" x14ac:dyDescent="0.25">
      <c r="A49" s="143" t="s">
        <v>426</v>
      </c>
      <c r="B49" s="23"/>
      <c r="C49" s="21"/>
      <c r="D49" s="22"/>
      <c r="E49" s="3"/>
    </row>
    <row r="50" spans="1:5" ht="15.75" hidden="1" x14ac:dyDescent="0.25">
      <c r="A50" s="228" t="s">
        <v>348</v>
      </c>
      <c r="B50" s="20"/>
      <c r="C50" s="21"/>
      <c r="D50" s="22"/>
      <c r="E50" s="3"/>
    </row>
    <row r="51" spans="1:5" ht="15.75" x14ac:dyDescent="0.25">
      <c r="A51" s="143" t="s">
        <v>542</v>
      </c>
      <c r="B51" s="23">
        <v>8400</v>
      </c>
      <c r="C51" s="21"/>
      <c r="D51" s="22"/>
      <c r="E51" s="3"/>
    </row>
    <row r="52" spans="1:5" ht="15.75" hidden="1" x14ac:dyDescent="0.25">
      <c r="A52" s="143" t="s">
        <v>412</v>
      </c>
      <c r="B52" s="23"/>
      <c r="C52" s="21"/>
      <c r="D52" s="22">
        <v>105.14</v>
      </c>
      <c r="E52" s="3"/>
    </row>
    <row r="53" spans="1:5" ht="15.75" hidden="1" x14ac:dyDescent="0.25">
      <c r="A53" s="228" t="s">
        <v>274</v>
      </c>
      <c r="B53" s="20"/>
      <c r="C53" s="21">
        <v>0</v>
      </c>
      <c r="D53" s="22">
        <v>522.99</v>
      </c>
      <c r="E53" s="3"/>
    </row>
    <row r="54" spans="1:5" ht="15.75" x14ac:dyDescent="0.25">
      <c r="A54" s="188" t="s">
        <v>275</v>
      </c>
      <c r="B54" s="20">
        <v>12200</v>
      </c>
      <c r="C54" s="21">
        <v>2</v>
      </c>
      <c r="D54" s="44">
        <v>695.13</v>
      </c>
      <c r="E54" s="3"/>
    </row>
    <row r="55" spans="1:5" ht="15.75" hidden="1" x14ac:dyDescent="0.25">
      <c r="A55" s="143" t="s">
        <v>427</v>
      </c>
      <c r="B55" s="23"/>
      <c r="C55" s="21"/>
      <c r="D55" s="44"/>
      <c r="E55" s="3"/>
    </row>
    <row r="56" spans="1:5" ht="15.75" hidden="1" x14ac:dyDescent="0.25">
      <c r="A56" s="143" t="s">
        <v>277</v>
      </c>
      <c r="B56" s="23"/>
      <c r="C56" s="21">
        <v>0</v>
      </c>
      <c r="D56" s="22">
        <f>10695.76/1.18</f>
        <v>9064.203389830509</v>
      </c>
      <c r="E56" s="3"/>
    </row>
    <row r="57" spans="1:5" ht="15.75" hidden="1" x14ac:dyDescent="0.25">
      <c r="A57" s="143" t="s">
        <v>421</v>
      </c>
      <c r="B57" s="23"/>
      <c r="C57" s="21">
        <v>0</v>
      </c>
      <c r="D57" s="22">
        <f>2300/1.18</f>
        <v>1949.1525423728815</v>
      </c>
      <c r="E57" s="3"/>
    </row>
    <row r="58" spans="1:5" ht="15.75" x14ac:dyDescent="0.25">
      <c r="A58" s="228" t="s">
        <v>282</v>
      </c>
      <c r="B58" s="20">
        <v>309.63</v>
      </c>
      <c r="C58" s="21">
        <v>0</v>
      </c>
      <c r="D58" s="22">
        <v>0</v>
      </c>
      <c r="E58" s="3"/>
    </row>
    <row r="59" spans="1:5" ht="15.75" hidden="1" x14ac:dyDescent="0.25">
      <c r="A59" s="228" t="s">
        <v>279</v>
      </c>
      <c r="B59" s="20">
        <f>B13*'[6]32тарифы'!D184</f>
        <v>0</v>
      </c>
      <c r="C59" s="21"/>
      <c r="D59" s="22"/>
      <c r="E59" s="227">
        <f>B80+B46-B59+381.89</f>
        <v>120834</v>
      </c>
    </row>
    <row r="60" spans="1:5" ht="15.75" hidden="1" x14ac:dyDescent="0.25">
      <c r="A60" s="187" t="s">
        <v>428</v>
      </c>
      <c r="B60" s="20">
        <v>0</v>
      </c>
      <c r="C60" s="21"/>
      <c r="D60" s="22"/>
      <c r="E60" s="3"/>
    </row>
    <row r="61" spans="1:5" ht="15.75" hidden="1" x14ac:dyDescent="0.25">
      <c r="A61" s="187" t="s">
        <v>281</v>
      </c>
      <c r="B61" s="20"/>
      <c r="C61" s="21"/>
      <c r="D61" s="22">
        <v>0</v>
      </c>
      <c r="E61" s="3"/>
    </row>
    <row r="62" spans="1:5" ht="15.75" hidden="1" x14ac:dyDescent="0.25">
      <c r="A62" s="225" t="s">
        <v>429</v>
      </c>
      <c r="B62" s="20"/>
      <c r="C62" s="21"/>
      <c r="D62" s="22">
        <v>0</v>
      </c>
      <c r="E62" s="3"/>
    </row>
    <row r="63" spans="1:5" ht="15.75" x14ac:dyDescent="0.25">
      <c r="A63" s="224" t="s">
        <v>327</v>
      </c>
      <c r="B63" s="229">
        <v>52649.32</v>
      </c>
      <c r="C63" s="46">
        <v>1</v>
      </c>
      <c r="D63" s="22">
        <v>0</v>
      </c>
      <c r="E63" s="3"/>
    </row>
    <row r="64" spans="1:5" ht="15.75" hidden="1" x14ac:dyDescent="0.25">
      <c r="A64" s="187" t="s">
        <v>284</v>
      </c>
      <c r="B64" s="112"/>
      <c r="C64" s="46">
        <v>112</v>
      </c>
      <c r="D64" s="22">
        <v>2</v>
      </c>
      <c r="E64" s="3">
        <v>1</v>
      </c>
    </row>
    <row r="65" spans="1:4" ht="15.75" hidden="1" x14ac:dyDescent="0.25">
      <c r="A65" s="187" t="s">
        <v>285</v>
      </c>
      <c r="B65" s="112"/>
      <c r="C65" s="48"/>
      <c r="D65" s="40">
        <v>0</v>
      </c>
    </row>
    <row r="66" spans="1:4" s="8" customFormat="1" ht="15.75" x14ac:dyDescent="0.25">
      <c r="A66" s="230" t="s">
        <v>286</v>
      </c>
      <c r="B66" s="208">
        <f>SUM(B67:B74)</f>
        <v>473889.13897446019</v>
      </c>
      <c r="C66" s="39"/>
      <c r="D66" s="40"/>
    </row>
    <row r="67" spans="1:4" ht="15.75" hidden="1" x14ac:dyDescent="0.25">
      <c r="A67" s="187" t="s">
        <v>287</v>
      </c>
      <c r="B67" s="20"/>
      <c r="C67" s="39"/>
      <c r="D67" s="40"/>
    </row>
    <row r="68" spans="1:4" ht="15.75" x14ac:dyDescent="0.25">
      <c r="A68" s="224" t="s">
        <v>288</v>
      </c>
      <c r="B68" s="232">
        <f>1.04*114644.62*1.12</f>
        <v>133538.05337600003</v>
      </c>
      <c r="C68" s="39"/>
      <c r="D68" s="40"/>
    </row>
    <row r="69" spans="1:4" ht="15.75" hidden="1" x14ac:dyDescent="0.25">
      <c r="A69" s="187" t="s">
        <v>289</v>
      </c>
      <c r="B69" s="20"/>
      <c r="C69" s="39"/>
      <c r="D69" s="40"/>
    </row>
    <row r="70" spans="1:4" ht="15.75" x14ac:dyDescent="0.25">
      <c r="A70" s="226" t="s">
        <v>290</v>
      </c>
      <c r="B70" s="23">
        <f>'[6]32тарифы'!D164*B13*1.12</f>
        <v>6841.6068486868853</v>
      </c>
      <c r="C70" s="39"/>
      <c r="D70" s="40"/>
    </row>
    <row r="71" spans="1:4" ht="15.75" x14ac:dyDescent="0.25">
      <c r="A71" s="226" t="s">
        <v>291</v>
      </c>
      <c r="B71" s="23">
        <f>4.62*B15</f>
        <v>38691.114000000001</v>
      </c>
      <c r="C71" s="39"/>
      <c r="D71" s="40"/>
    </row>
    <row r="72" spans="1:4" ht="15.75" x14ac:dyDescent="0.25">
      <c r="A72" s="226" t="s">
        <v>292</v>
      </c>
      <c r="B72" s="23">
        <f>16.14*B15</f>
        <v>135167.65800000002</v>
      </c>
      <c r="C72" s="39"/>
      <c r="D72" s="40"/>
    </row>
    <row r="73" spans="1:4" ht="15.75" x14ac:dyDescent="0.25">
      <c r="A73" s="226" t="s">
        <v>293</v>
      </c>
      <c r="B73" s="23">
        <f>1.04*14513.6738512316*1.12</f>
        <v>16905.527301914572</v>
      </c>
      <c r="C73" s="39"/>
      <c r="D73" s="40"/>
    </row>
    <row r="74" spans="1:4" ht="15.75" x14ac:dyDescent="0.25">
      <c r="A74" s="226" t="s">
        <v>294</v>
      </c>
      <c r="B74" s="23">
        <f>1.04*122549.089498505*1.12</f>
        <v>142745.17944785862</v>
      </c>
      <c r="C74" s="39"/>
      <c r="D74" s="40"/>
    </row>
    <row r="75" spans="1:4" ht="63" x14ac:dyDescent="0.25">
      <c r="A75" s="233" t="s">
        <v>295</v>
      </c>
      <c r="B75" s="208">
        <f>SUM(B76:B76)</f>
        <v>188565.44000000003</v>
      </c>
      <c r="C75" s="39"/>
      <c r="D75" s="40"/>
    </row>
    <row r="76" spans="1:4" ht="15.75" x14ac:dyDescent="0.25">
      <c r="A76" s="226" t="s">
        <v>296</v>
      </c>
      <c r="B76" s="23">
        <f>168362*1.12</f>
        <v>188565.44000000003</v>
      </c>
      <c r="C76" s="39"/>
      <c r="D76" s="40"/>
    </row>
    <row r="77" spans="1:4" s="8" customFormat="1" ht="15.75" x14ac:dyDescent="0.25">
      <c r="A77" s="230" t="s">
        <v>297</v>
      </c>
      <c r="B77" s="208">
        <f>SUM(B78:B81)</f>
        <v>384298.79646108922</v>
      </c>
      <c r="C77" s="39"/>
      <c r="D77" s="40"/>
    </row>
    <row r="78" spans="1:4" ht="15.75" x14ac:dyDescent="0.25">
      <c r="A78" s="234" t="s">
        <v>298</v>
      </c>
      <c r="B78" s="23">
        <f>'[6]32тарифы'!D170*B15*1.12</f>
        <v>202114.31252872173</v>
      </c>
      <c r="C78" s="39"/>
      <c r="D78" s="40"/>
    </row>
    <row r="79" spans="1:4" ht="15" customHeight="1" x14ac:dyDescent="0.25">
      <c r="A79" s="234" t="s">
        <v>299</v>
      </c>
      <c r="B79" s="232">
        <f>B26/1.2*30%</f>
        <v>139636.75750000001</v>
      </c>
      <c r="C79" s="39"/>
      <c r="D79" s="40"/>
    </row>
    <row r="80" spans="1:4" ht="15.75" x14ac:dyDescent="0.25">
      <c r="A80" s="235" t="s">
        <v>300</v>
      </c>
      <c r="B80" s="23">
        <f>14505.43+15862.51</f>
        <v>30367.940000000002</v>
      </c>
      <c r="C80" s="39"/>
      <c r="D80" s="40"/>
    </row>
    <row r="81" spans="1:4" ht="15.75" x14ac:dyDescent="0.25">
      <c r="A81" s="235" t="s">
        <v>301</v>
      </c>
      <c r="B81" s="23">
        <f>'[6]32тарифы'!D173*B13*1.12</f>
        <v>12179.786432367508</v>
      </c>
      <c r="C81" s="39"/>
      <c r="D81" s="40"/>
    </row>
    <row r="82" spans="1:4" ht="15.75" x14ac:dyDescent="0.25">
      <c r="A82" s="236" t="s">
        <v>302</v>
      </c>
      <c r="B82" s="28">
        <f>B32+B42+B46+B66+B75+B77</f>
        <v>1725509.0654355495</v>
      </c>
      <c r="C82" s="39"/>
      <c r="D82" s="40"/>
    </row>
    <row r="83" spans="1:4" ht="15.75" x14ac:dyDescent="0.25">
      <c r="A83" s="237" t="s">
        <v>303</v>
      </c>
      <c r="B83" s="23">
        <f>B82*0.03</f>
        <v>51765.27196306648</v>
      </c>
      <c r="C83" s="39"/>
      <c r="D83" s="40"/>
    </row>
    <row r="84" spans="1:4" s="34" customFormat="1" ht="15.75" x14ac:dyDescent="0.25">
      <c r="A84" s="238" t="s">
        <v>304</v>
      </c>
      <c r="B84" s="208">
        <f>B82+B83</f>
        <v>1777274.3373986159</v>
      </c>
      <c r="C84" s="39"/>
      <c r="D84" s="40"/>
    </row>
    <row r="85" spans="1:4" ht="16.5" thickBot="1" x14ac:dyDescent="0.3">
      <c r="A85" s="239" t="s">
        <v>305</v>
      </c>
      <c r="B85" s="240">
        <f>B84*0.2</f>
        <v>355454.86747972318</v>
      </c>
      <c r="C85" s="39"/>
      <c r="D85" s="40"/>
    </row>
    <row r="86" spans="1:4" s="8" customFormat="1" ht="16.5" thickBot="1" x14ac:dyDescent="0.3">
      <c r="A86" s="58" t="s">
        <v>306</v>
      </c>
      <c r="B86" s="66">
        <f>B84+B85</f>
        <v>2132729.2048783391</v>
      </c>
      <c r="C86" s="60"/>
      <c r="D86" s="61"/>
    </row>
    <row r="87" spans="1:4" s="8" customFormat="1" ht="16.5" thickBot="1" x14ac:dyDescent="0.3">
      <c r="A87" s="62" t="s">
        <v>307</v>
      </c>
      <c r="B87" s="296">
        <f>B10+B24+B26+B28+B29-B86</f>
        <v>-1060370.5148783391</v>
      </c>
      <c r="C87" s="63"/>
      <c r="D87" s="63"/>
    </row>
    <row r="88" spans="1:4" s="8" customFormat="1" ht="16.5" thickBot="1" x14ac:dyDescent="0.3">
      <c r="A88" s="64" t="s">
        <v>308</v>
      </c>
      <c r="B88" s="66">
        <f>B10+B25+B27+B28+B29-B86</f>
        <v>-1285388.404878339</v>
      </c>
      <c r="C88" s="63"/>
      <c r="D88" s="63"/>
    </row>
    <row r="89" spans="1:4" s="8" customFormat="1" ht="16.5" hidden="1" thickBot="1" x14ac:dyDescent="0.3">
      <c r="A89" s="241" t="s">
        <v>309</v>
      </c>
      <c r="B89" s="66">
        <f>B11+B24-B25</f>
        <v>20259.320000000065</v>
      </c>
      <c r="C89" s="63"/>
      <c r="D89" s="63"/>
    </row>
    <row r="90" spans="1:4" ht="15.75" x14ac:dyDescent="0.25">
      <c r="A90" s="3"/>
      <c r="B90" s="227"/>
      <c r="C90" s="3"/>
      <c r="D90" s="3"/>
    </row>
    <row r="91" spans="1:4" ht="15.75" x14ac:dyDescent="0.25">
      <c r="A91" s="69"/>
      <c r="B91" s="3"/>
      <c r="C91" s="3"/>
      <c r="D91" s="3"/>
    </row>
    <row r="92" spans="1:4" ht="15.75" x14ac:dyDescent="0.25">
      <c r="A92" s="333" t="s">
        <v>407</v>
      </c>
      <c r="B92" s="333"/>
      <c r="C92" s="3"/>
      <c r="D92" s="3"/>
    </row>
    <row r="93" spans="1:4" ht="15.75" x14ac:dyDescent="0.25">
      <c r="A93" s="69"/>
      <c r="B93" s="3"/>
      <c r="C93" s="3"/>
      <c r="D93" s="3"/>
    </row>
    <row r="94" spans="1:4" ht="15.75" hidden="1" x14ac:dyDescent="0.25">
      <c r="A94" s="342" t="s">
        <v>408</v>
      </c>
      <c r="B94" s="342"/>
      <c r="C94" s="72"/>
      <c r="D94" s="3"/>
    </row>
    <row r="95" spans="1:4" ht="15.75" x14ac:dyDescent="0.25">
      <c r="A95" s="3"/>
      <c r="B95" s="3"/>
      <c r="C95" s="3"/>
      <c r="D95" s="3"/>
    </row>
  </sheetData>
  <autoFilter ref="A31:G89" xr:uid="{00000000-0009-0000-0000-00003A000000}">
    <filterColumn colId="1">
      <filters>
        <filter val="-1 036 562,94"/>
        <filter val="-1 370 092,08"/>
        <filter val="1 534,15"/>
        <filter val="1 702 928,55"/>
        <filter val="1 754 016,41"/>
        <filter val="105 857,31"/>
        <filter val="110 732,69"/>
        <filter val="116 664,46"/>
        <filter val="116 765,48"/>
        <filter val="119 325,00"/>
        <filter val="12 179,79"/>
        <filter val="12 343,02"/>
        <filter val="122 468,40"/>
        <filter val="133 538,05"/>
        <filter val="142 745,18"/>
        <filter val="15 862,51"/>
        <filter val="16 905,53"/>
        <filter val="188 565,44"/>
        <filter val="2 104 819,69"/>
        <filter val="2 618,30"/>
        <filter val="202 114,31"/>
        <filter val="23 019,78"/>
        <filter val="247 541,92"/>
        <filter val="341 129,60"/>
        <filter val="349 481,61"/>
        <filter val="350 803,28"/>
        <filter val="4 562,41"/>
        <filter val="459 444,50"/>
        <filter val="47 916,56"/>
        <filter val="51 087,86"/>
        <filter val="53 556,82"/>
        <filter val="6 841,61"/>
        <filter val="60 011,95"/>
        <filter val="60 603,20"/>
        <filter val="70 274,26"/>
        <filter val="72 687,82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76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>
    <pageSetUpPr fitToPage="1"/>
  </sheetPr>
  <dimension ref="A1:G95"/>
  <sheetViews>
    <sheetView view="pageBreakPreview" topLeftCell="A38" zoomScale="80" zoomScaleNormal="100" zoomScaleSheetLayoutView="80" workbookViewId="0">
      <selection activeCell="B81" sqref="B81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25" t="s">
        <v>224</v>
      </c>
      <c r="B1" s="325"/>
      <c r="C1" s="77"/>
      <c r="D1" s="77"/>
    </row>
    <row r="2" spans="1:4" ht="16.5" x14ac:dyDescent="0.25">
      <c r="A2" s="326" t="s">
        <v>225</v>
      </c>
      <c r="B2" s="326"/>
      <c r="C2" s="77"/>
      <c r="D2" s="77"/>
    </row>
    <row r="3" spans="1:4" ht="16.5" x14ac:dyDescent="0.25">
      <c r="A3" s="326" t="s">
        <v>226</v>
      </c>
      <c r="B3" s="326"/>
      <c r="C3" s="77"/>
      <c r="D3" s="77"/>
    </row>
    <row r="4" spans="1:4" ht="15.75" x14ac:dyDescent="0.25">
      <c r="A4" s="78" t="s">
        <v>516</v>
      </c>
      <c r="B4" s="78"/>
      <c r="C4" s="77"/>
      <c r="D4" s="77"/>
    </row>
    <row r="5" spans="1:4" ht="15.75" x14ac:dyDescent="0.25">
      <c r="A5" s="78" t="s">
        <v>28</v>
      </c>
      <c r="B5" s="78"/>
      <c r="C5" s="77"/>
      <c r="D5" s="77"/>
    </row>
    <row r="6" spans="1:4" ht="5.25" customHeight="1" x14ac:dyDescent="0.25">
      <c r="A6" s="78"/>
      <c r="B6" s="8"/>
      <c r="C6" s="79"/>
      <c r="D6" s="77"/>
    </row>
    <row r="7" spans="1:4" ht="16.5" thickBot="1" x14ac:dyDescent="0.3">
      <c r="A7" s="80"/>
      <c r="B7" s="8"/>
      <c r="C7" s="79"/>
      <c r="D7" s="77"/>
    </row>
    <row r="8" spans="1:4" ht="15.75" customHeight="1" x14ac:dyDescent="0.2">
      <c r="A8" s="327" t="s">
        <v>227</v>
      </c>
      <c r="B8" s="329" t="s">
        <v>228</v>
      </c>
      <c r="C8" s="331" t="s">
        <v>229</v>
      </c>
      <c r="D8" s="321" t="s">
        <v>230</v>
      </c>
    </row>
    <row r="9" spans="1:4" ht="28.5" customHeight="1" thickBot="1" x14ac:dyDescent="0.25">
      <c r="A9" s="328"/>
      <c r="B9" s="330"/>
      <c r="C9" s="332"/>
      <c r="D9" s="322"/>
    </row>
    <row r="10" spans="1:4" ht="16.5" thickBot="1" x14ac:dyDescent="0.25">
      <c r="A10" s="81" t="s">
        <v>231</v>
      </c>
      <c r="B10" s="302">
        <f>VLOOKUP(A5,мкд!S:T,2,FALSE)</f>
        <v>-1075857.1200000001</v>
      </c>
      <c r="C10" s="83"/>
      <c r="D10" s="84"/>
    </row>
    <row r="11" spans="1:4" ht="16.5" hidden="1" thickBot="1" x14ac:dyDescent="0.25">
      <c r="A11" s="85" t="s">
        <v>232</v>
      </c>
      <c r="B11" s="210"/>
      <c r="C11" s="84"/>
      <c r="D11" s="86"/>
    </row>
    <row r="12" spans="1:4" ht="16.5" thickBot="1" x14ac:dyDescent="0.3">
      <c r="A12" s="87" t="s">
        <v>233</v>
      </c>
      <c r="B12" s="217"/>
      <c r="C12" s="89" t="s">
        <v>234</v>
      </c>
      <c r="D12" s="90" t="s">
        <v>234</v>
      </c>
    </row>
    <row r="13" spans="1:4" ht="16.5" hidden="1" thickBot="1" x14ac:dyDescent="0.3">
      <c r="A13" s="91" t="s">
        <v>235</v>
      </c>
      <c r="B13" s="23">
        <v>1524.2</v>
      </c>
      <c r="C13" s="90" t="s">
        <v>234</v>
      </c>
      <c r="D13" s="92" t="s">
        <v>234</v>
      </c>
    </row>
    <row r="14" spans="1:4" ht="16.5" hidden="1" thickBot="1" x14ac:dyDescent="0.3">
      <c r="A14" s="91" t="s">
        <v>236</v>
      </c>
      <c r="B14" s="23">
        <v>0</v>
      </c>
      <c r="C14" s="93"/>
      <c r="D14" s="92"/>
    </row>
    <row r="15" spans="1:4" ht="16.5" hidden="1" thickBot="1" x14ac:dyDescent="0.3">
      <c r="A15" s="91" t="s">
        <v>237</v>
      </c>
      <c r="B15" s="23">
        <f>B13+B14</f>
        <v>1524.2</v>
      </c>
      <c r="C15" s="94"/>
      <c r="D15" s="95"/>
    </row>
    <row r="16" spans="1:4" ht="16.5" hidden="1" thickBot="1" x14ac:dyDescent="0.3">
      <c r="A16" s="91" t="s">
        <v>238</v>
      </c>
      <c r="B16" s="23">
        <f>802.2+1716/3</f>
        <v>1374.2</v>
      </c>
      <c r="C16" s="96" t="s">
        <v>234</v>
      </c>
      <c r="D16" s="95" t="s">
        <v>234</v>
      </c>
    </row>
    <row r="17" spans="1:7" ht="16.5" hidden="1" thickBot="1" x14ac:dyDescent="0.3">
      <c r="A17" s="91" t="s">
        <v>239</v>
      </c>
      <c r="B17" s="23">
        <v>0</v>
      </c>
      <c r="C17" s="90" t="s">
        <v>234</v>
      </c>
      <c r="D17" s="92" t="s">
        <v>234</v>
      </c>
      <c r="E17" s="77"/>
      <c r="F17" s="77"/>
      <c r="G17" s="77"/>
    </row>
    <row r="18" spans="1:7" ht="16.5" hidden="1" thickBot="1" x14ac:dyDescent="0.3">
      <c r="A18" s="91" t="s">
        <v>240</v>
      </c>
      <c r="B18" s="23">
        <v>640.9</v>
      </c>
      <c r="C18" s="95" t="s">
        <v>234</v>
      </c>
      <c r="D18" s="92" t="s">
        <v>234</v>
      </c>
      <c r="E18" s="77"/>
      <c r="F18" s="77"/>
      <c r="G18" s="77"/>
    </row>
    <row r="19" spans="1:7" ht="16.5" hidden="1" thickBot="1" x14ac:dyDescent="0.3">
      <c r="A19" s="91" t="s">
        <v>241</v>
      </c>
      <c r="B19" s="23">
        <v>0</v>
      </c>
      <c r="C19" s="95" t="s">
        <v>234</v>
      </c>
      <c r="D19" s="92" t="s">
        <v>234</v>
      </c>
      <c r="E19" s="77"/>
      <c r="F19" s="77"/>
      <c r="G19" s="77"/>
    </row>
    <row r="20" spans="1:7" ht="16.5" hidden="1" thickBot="1" x14ac:dyDescent="0.3">
      <c r="A20" s="91" t="s">
        <v>242</v>
      </c>
      <c r="B20" s="23">
        <v>833.2</v>
      </c>
      <c r="C20" s="95"/>
      <c r="D20" s="92"/>
      <c r="E20" s="77"/>
      <c r="F20" s="77"/>
      <c r="G20" s="77"/>
    </row>
    <row r="21" spans="1:7" ht="16.5" hidden="1" thickBot="1" x14ac:dyDescent="0.3">
      <c r="A21" s="91" t="s">
        <v>243</v>
      </c>
      <c r="B21" s="23">
        <v>0</v>
      </c>
      <c r="C21" s="95" t="s">
        <v>234</v>
      </c>
      <c r="D21" s="92" t="s">
        <v>234</v>
      </c>
      <c r="E21" s="77"/>
      <c r="F21" s="77"/>
      <c r="G21" s="77"/>
    </row>
    <row r="22" spans="1:7" ht="16.5" hidden="1" thickBot="1" x14ac:dyDescent="0.3">
      <c r="A22" s="91" t="s">
        <v>244</v>
      </c>
      <c r="B22" s="23">
        <v>82</v>
      </c>
      <c r="C22" s="93"/>
      <c r="D22" s="92"/>
      <c r="E22" s="77"/>
      <c r="F22" s="77"/>
      <c r="G22" s="77"/>
    </row>
    <row r="23" spans="1:7" ht="15.75" x14ac:dyDescent="0.25">
      <c r="A23" s="91"/>
      <c r="B23" s="23"/>
      <c r="C23" s="94"/>
      <c r="D23" s="95"/>
      <c r="E23" s="77">
        <v>10</v>
      </c>
      <c r="F23" s="77">
        <v>2</v>
      </c>
      <c r="G23" s="77"/>
    </row>
    <row r="24" spans="1:7" ht="15.75" x14ac:dyDescent="0.25">
      <c r="A24" s="97" t="s">
        <v>319</v>
      </c>
      <c r="B24" s="28">
        <f>VLOOKUP(A5,[2]Лист1!M$1:N$65536,2,FALSE)</f>
        <v>288320.76</v>
      </c>
      <c r="C24" s="92"/>
      <c r="D24" s="95"/>
      <c r="E24" s="26">
        <v>15.48</v>
      </c>
      <c r="F24" s="256">
        <v>17.328312</v>
      </c>
      <c r="G24" s="77"/>
    </row>
    <row r="25" spans="1:7" ht="16.5" thickBot="1" x14ac:dyDescent="0.3">
      <c r="A25" s="97" t="s">
        <v>320</v>
      </c>
      <c r="B25" s="28">
        <f>VLOOKUP(A5,[2]Лист1!M$1:O$65536,3,FALSE)</f>
        <v>307424.43</v>
      </c>
      <c r="C25" s="96"/>
      <c r="D25" s="95"/>
      <c r="E25" s="77"/>
      <c r="F25" s="77"/>
      <c r="G25" s="77"/>
    </row>
    <row r="26" spans="1:7" ht="16.5" hidden="1" thickBot="1" x14ac:dyDescent="0.3">
      <c r="A26" s="97" t="s">
        <v>321</v>
      </c>
      <c r="B26" s="28"/>
      <c r="C26" s="90"/>
      <c r="D26" s="92"/>
      <c r="E26" s="77"/>
      <c r="F26" s="77"/>
      <c r="G26" s="77"/>
    </row>
    <row r="27" spans="1:7" ht="16.5" hidden="1" thickBot="1" x14ac:dyDescent="0.3">
      <c r="A27" s="97" t="s">
        <v>248</v>
      </c>
      <c r="B27" s="28"/>
      <c r="C27" s="93"/>
      <c r="D27" s="92"/>
      <c r="E27" s="77"/>
      <c r="F27" s="77"/>
      <c r="G27" s="77"/>
    </row>
    <row r="28" spans="1:7" ht="16.5" thickBot="1" x14ac:dyDescent="0.3">
      <c r="A28" s="97" t="s">
        <v>249</v>
      </c>
      <c r="B28" s="28">
        <v>1510.2</v>
      </c>
      <c r="C28" s="89"/>
      <c r="D28" s="95"/>
      <c r="E28" s="77"/>
      <c r="F28" s="77"/>
      <c r="G28" s="77"/>
    </row>
    <row r="29" spans="1:7" ht="16.5" hidden="1" thickBot="1" x14ac:dyDescent="0.3">
      <c r="A29" s="97" t="s">
        <v>250</v>
      </c>
      <c r="B29" s="28"/>
      <c r="C29" s="98"/>
      <c r="D29" s="92"/>
      <c r="E29" s="77"/>
      <c r="F29" s="77"/>
      <c r="G29" s="77"/>
    </row>
    <row r="30" spans="1:7" ht="15.75" x14ac:dyDescent="0.25">
      <c r="A30" s="99"/>
      <c r="B30" s="23"/>
      <c r="C30" s="94"/>
      <c r="D30" s="95"/>
      <c r="E30" s="77"/>
      <c r="F30" s="77"/>
      <c r="G30" s="77"/>
    </row>
    <row r="31" spans="1:7" ht="15.75" x14ac:dyDescent="0.25">
      <c r="A31" s="100" t="s">
        <v>251</v>
      </c>
      <c r="B31" s="23"/>
      <c r="C31" s="92"/>
      <c r="D31" s="95"/>
      <c r="E31" s="77"/>
      <c r="F31" s="77"/>
      <c r="G31" s="77"/>
    </row>
    <row r="32" spans="1:7" s="103" customFormat="1" ht="31.5" x14ac:dyDescent="0.25">
      <c r="A32" s="101" t="s">
        <v>252</v>
      </c>
      <c r="B32" s="208">
        <f>SUM(B33:B41)</f>
        <v>32033.272860695517</v>
      </c>
      <c r="C32" s="92"/>
      <c r="D32" s="95"/>
      <c r="E32" s="102">
        <f>(B86-B26-B24)/1.2/1.03</f>
        <v>105459.81913479129</v>
      </c>
      <c r="F32" s="102" t="e">
        <f>(#REF!-#REF!-#REF!)/1.2/1.03</f>
        <v>#REF!</v>
      </c>
      <c r="G32" s="102" t="e">
        <f>(#REF!-#REF!-#REF!)/1.2/1.03</f>
        <v>#REF!</v>
      </c>
    </row>
    <row r="33" spans="1:7" ht="16.5" thickBot="1" x14ac:dyDescent="0.3">
      <c r="A33" s="104" t="s">
        <v>253</v>
      </c>
      <c r="B33" s="23">
        <f>18494.64*1.1194</f>
        <v>20702.900016</v>
      </c>
      <c r="C33" s="96"/>
      <c r="D33" s="95">
        <v>24081.94</v>
      </c>
      <c r="E33" s="77"/>
      <c r="F33" s="77"/>
      <c r="G33" s="77"/>
    </row>
    <row r="34" spans="1:7" ht="15.75" hidden="1" x14ac:dyDescent="0.25">
      <c r="A34" s="104" t="s">
        <v>322</v>
      </c>
      <c r="B34" s="23">
        <v>0</v>
      </c>
      <c r="C34" s="90"/>
      <c r="D34" s="92">
        <v>0</v>
      </c>
      <c r="E34" s="77"/>
      <c r="F34" s="77"/>
      <c r="G34" s="77"/>
    </row>
    <row r="35" spans="1:7" ht="15.75" x14ac:dyDescent="0.25">
      <c r="A35" s="104" t="s">
        <v>256</v>
      </c>
      <c r="B35" s="23">
        <v>699.45167056215564</v>
      </c>
      <c r="C35" s="95"/>
      <c r="D35" s="92">
        <v>0</v>
      </c>
      <c r="E35" s="77"/>
      <c r="F35" s="77"/>
      <c r="G35" s="77"/>
    </row>
    <row r="36" spans="1:7" ht="15.75" x14ac:dyDescent="0.25">
      <c r="A36" s="104" t="s">
        <v>255</v>
      </c>
      <c r="B36" s="23">
        <v>8379.7711741333587</v>
      </c>
      <c r="C36" s="95" t="s">
        <v>234</v>
      </c>
      <c r="D36" s="92">
        <v>0</v>
      </c>
      <c r="E36" s="77"/>
      <c r="F36" s="77"/>
      <c r="G36" s="77"/>
    </row>
    <row r="37" spans="1:7" ht="15.75" hidden="1" x14ac:dyDescent="0.25">
      <c r="A37" s="104" t="s">
        <v>257</v>
      </c>
      <c r="B37" s="23"/>
      <c r="C37" s="95"/>
      <c r="D37" s="92">
        <v>0</v>
      </c>
      <c r="E37" s="77"/>
      <c r="F37" s="77"/>
      <c r="G37" s="77"/>
    </row>
    <row r="38" spans="1:7" ht="16.5" thickBot="1" x14ac:dyDescent="0.3">
      <c r="A38" s="104" t="s">
        <v>342</v>
      </c>
      <c r="B38" s="23">
        <v>2251.15</v>
      </c>
      <c r="C38" s="95"/>
      <c r="D38" s="92">
        <v>0</v>
      </c>
      <c r="E38" s="77"/>
      <c r="F38" s="77"/>
      <c r="G38" s="77"/>
    </row>
    <row r="39" spans="1:7" ht="16.5" hidden="1" thickBot="1" x14ac:dyDescent="0.3">
      <c r="A39" s="104" t="s">
        <v>324</v>
      </c>
      <c r="B39" s="23">
        <v>0</v>
      </c>
      <c r="C39" s="95"/>
      <c r="D39" s="92">
        <v>0</v>
      </c>
      <c r="E39" s="77"/>
      <c r="F39" s="77"/>
      <c r="G39" s="77"/>
    </row>
    <row r="40" spans="1:7" ht="16.5" hidden="1" thickBot="1" x14ac:dyDescent="0.3">
      <c r="A40" s="104" t="s">
        <v>312</v>
      </c>
      <c r="B40" s="23">
        <v>0</v>
      </c>
      <c r="C40" s="95"/>
      <c r="D40" s="92"/>
      <c r="E40" s="77"/>
      <c r="F40" s="77"/>
      <c r="G40" s="77"/>
    </row>
    <row r="41" spans="1:7" ht="16.5" hidden="1" thickBot="1" x14ac:dyDescent="0.3">
      <c r="A41" s="104" t="s">
        <v>343</v>
      </c>
      <c r="B41" s="23">
        <v>0</v>
      </c>
      <c r="C41" s="93"/>
      <c r="D41" s="92"/>
      <c r="E41" s="77"/>
      <c r="F41" s="77"/>
      <c r="G41" s="77"/>
    </row>
    <row r="42" spans="1:7" s="103" customFormat="1" ht="48" thickBot="1" x14ac:dyDescent="0.3">
      <c r="A42" s="101" t="s">
        <v>325</v>
      </c>
      <c r="B42" s="208">
        <f>SUM(B43:B45)</f>
        <v>55078.32814063922</v>
      </c>
      <c r="C42" s="89"/>
      <c r="D42" s="95"/>
      <c r="E42" s="102"/>
      <c r="F42" s="102"/>
      <c r="G42" s="102"/>
    </row>
    <row r="43" spans="1:7" ht="15.75" hidden="1" x14ac:dyDescent="0.25">
      <c r="A43" s="104" t="s">
        <v>262</v>
      </c>
      <c r="B43" s="23"/>
      <c r="C43" s="98"/>
      <c r="D43" s="108"/>
      <c r="E43" s="77"/>
      <c r="F43" s="77"/>
      <c r="G43" s="77"/>
    </row>
    <row r="44" spans="1:7" ht="15.75" x14ac:dyDescent="0.25">
      <c r="A44" s="104" t="s">
        <v>263</v>
      </c>
      <c r="B44" s="23">
        <v>45869.707155304524</v>
      </c>
      <c r="C44" s="93"/>
      <c r="D44" s="108"/>
      <c r="E44" s="77"/>
      <c r="F44" s="77"/>
      <c r="G44" s="77"/>
    </row>
    <row r="45" spans="1:7" ht="16.5" thickBot="1" x14ac:dyDescent="0.3">
      <c r="A45" s="109" t="s">
        <v>264</v>
      </c>
      <c r="B45" s="23">
        <f>('[3]34тарифы'!D163*B15+139.8)*1.1194</f>
        <v>9208.6209853346936</v>
      </c>
      <c r="C45" s="93"/>
      <c r="D45" s="108"/>
      <c r="E45" s="77"/>
      <c r="F45" s="77"/>
      <c r="G45" s="77"/>
    </row>
    <row r="46" spans="1:7" s="79" customFormat="1" ht="16.5" thickBot="1" x14ac:dyDescent="0.3">
      <c r="A46" s="101" t="s">
        <v>265</v>
      </c>
      <c r="B46" s="208">
        <f>SUM(B47:B65)</f>
        <v>30694.559999999998</v>
      </c>
      <c r="C46" s="89"/>
      <c r="D46" s="95"/>
    </row>
    <row r="47" spans="1:7" ht="15.75" x14ac:dyDescent="0.25">
      <c r="A47" s="104" t="s">
        <v>326</v>
      </c>
      <c r="B47" s="283">
        <v>2691.72</v>
      </c>
      <c r="C47" s="90"/>
      <c r="D47" s="92"/>
      <c r="E47" s="77" t="s">
        <v>267</v>
      </c>
      <c r="F47" s="77"/>
      <c r="G47" s="77"/>
    </row>
    <row r="48" spans="1:7" ht="15.75" x14ac:dyDescent="0.25">
      <c r="A48" s="104" t="s">
        <v>317</v>
      </c>
      <c r="B48" s="283">
        <v>3268.56</v>
      </c>
      <c r="C48" s="95"/>
      <c r="D48" s="92"/>
      <c r="E48" s="77" t="s">
        <v>269</v>
      </c>
      <c r="F48" s="77"/>
      <c r="G48" s="77"/>
    </row>
    <row r="49" spans="1:6" ht="16.5" customHeight="1" x14ac:dyDescent="0.25">
      <c r="A49" s="110" t="s">
        <v>282</v>
      </c>
      <c r="B49" s="294">
        <v>134.36000000000001</v>
      </c>
      <c r="C49" s="95"/>
      <c r="D49" s="92"/>
      <c r="E49" s="77"/>
      <c r="F49" s="77"/>
    </row>
    <row r="50" spans="1:6" ht="15.75" customHeight="1" x14ac:dyDescent="0.25">
      <c r="A50" s="110" t="s">
        <v>540</v>
      </c>
      <c r="B50" s="23">
        <v>10009.93</v>
      </c>
      <c r="C50" s="95"/>
      <c r="D50" s="92">
        <v>4190</v>
      </c>
      <c r="E50" s="77"/>
      <c r="F50" s="77"/>
    </row>
    <row r="51" spans="1:6" ht="15.75" x14ac:dyDescent="0.25">
      <c r="A51" s="110" t="s">
        <v>316</v>
      </c>
      <c r="B51" s="23">
        <v>0</v>
      </c>
      <c r="C51" s="95"/>
      <c r="D51" s="92"/>
      <c r="E51" s="77"/>
      <c r="F51" s="272">
        <f>B46+215.29-B59</f>
        <v>30909.85</v>
      </c>
    </row>
    <row r="52" spans="1:6" ht="15.75" hidden="1" x14ac:dyDescent="0.25">
      <c r="A52" s="110" t="s">
        <v>273</v>
      </c>
      <c r="B52" s="23">
        <f>B21*'[3]34тарифы'!D177</f>
        <v>0</v>
      </c>
      <c r="C52" s="95"/>
      <c r="D52" s="92">
        <v>105.14</v>
      </c>
      <c r="E52" s="77"/>
      <c r="F52" s="77"/>
    </row>
    <row r="53" spans="1:6" ht="15.75" hidden="1" x14ac:dyDescent="0.25">
      <c r="A53" s="110" t="s">
        <v>274</v>
      </c>
      <c r="B53" s="23">
        <v>0</v>
      </c>
      <c r="C53" s="95">
        <v>0</v>
      </c>
      <c r="D53" s="92">
        <v>522.99</v>
      </c>
      <c r="E53" s="77"/>
      <c r="F53" s="77"/>
    </row>
    <row r="54" spans="1:6" ht="15.75" hidden="1" x14ac:dyDescent="0.25">
      <c r="A54" s="110" t="s">
        <v>275</v>
      </c>
      <c r="B54" s="23">
        <v>0</v>
      </c>
      <c r="C54" s="95">
        <v>0</v>
      </c>
      <c r="D54" s="111">
        <v>695.13</v>
      </c>
      <c r="E54" s="77"/>
      <c r="F54" s="77"/>
    </row>
    <row r="55" spans="1:6" ht="15.75" hidden="1" x14ac:dyDescent="0.25">
      <c r="A55" s="110" t="s">
        <v>276</v>
      </c>
      <c r="B55" s="23">
        <v>0</v>
      </c>
      <c r="C55" s="95"/>
      <c r="D55" s="111"/>
      <c r="E55" s="77"/>
      <c r="F55" s="77"/>
    </row>
    <row r="56" spans="1:6" ht="15.75" hidden="1" x14ac:dyDescent="0.25">
      <c r="A56" s="110" t="s">
        <v>277</v>
      </c>
      <c r="B56" s="23">
        <v>0</v>
      </c>
      <c r="C56" s="95">
        <v>0</v>
      </c>
      <c r="D56" s="92">
        <f>10695.76/1.18</f>
        <v>9064.203389830509</v>
      </c>
      <c r="E56" s="77"/>
      <c r="F56" s="77"/>
    </row>
    <row r="57" spans="1:6" ht="15.75" hidden="1" x14ac:dyDescent="0.25">
      <c r="A57" s="110" t="s">
        <v>314</v>
      </c>
      <c r="B57" s="23">
        <v>0</v>
      </c>
      <c r="C57" s="95">
        <v>0</v>
      </c>
      <c r="D57" s="92">
        <f>2300/1.18</f>
        <v>1949.1525423728815</v>
      </c>
      <c r="E57" s="77"/>
      <c r="F57" s="77"/>
    </row>
    <row r="58" spans="1:6" ht="15.75" hidden="1" x14ac:dyDescent="0.25">
      <c r="A58" s="110" t="s">
        <v>315</v>
      </c>
      <c r="B58" s="23">
        <v>0</v>
      </c>
      <c r="C58" s="93">
        <v>0</v>
      </c>
      <c r="D58" s="92">
        <v>0</v>
      </c>
      <c r="E58" s="77"/>
      <c r="F58" s="77"/>
    </row>
    <row r="59" spans="1:6" ht="16.5" hidden="1" thickBot="1" x14ac:dyDescent="0.3">
      <c r="A59" s="110" t="s">
        <v>279</v>
      </c>
      <c r="B59" s="23">
        <f>B13*'[3]34тарифы'!D184</f>
        <v>0</v>
      </c>
      <c r="C59" s="89"/>
      <c r="D59" s="95"/>
      <c r="E59" s="77"/>
      <c r="F59" s="77"/>
    </row>
    <row r="60" spans="1:6" ht="15.75" hidden="1" x14ac:dyDescent="0.25">
      <c r="A60" s="104" t="s">
        <v>280</v>
      </c>
      <c r="B60" s="23">
        <v>0</v>
      </c>
      <c r="C60" s="90"/>
      <c r="D60" s="92"/>
      <c r="E60" s="77"/>
      <c r="F60" s="77"/>
    </row>
    <row r="61" spans="1:6" ht="15.75" hidden="1" x14ac:dyDescent="0.25">
      <c r="A61" s="104" t="s">
        <v>281</v>
      </c>
      <c r="B61" s="23">
        <v>0</v>
      </c>
      <c r="C61" s="95"/>
      <c r="D61" s="92">
        <v>0</v>
      </c>
      <c r="E61" s="77"/>
      <c r="F61" s="77"/>
    </row>
    <row r="62" spans="1:6" ht="15.75" hidden="1" x14ac:dyDescent="0.25">
      <c r="A62" s="104" t="s">
        <v>340</v>
      </c>
      <c r="B62" s="23">
        <v>0</v>
      </c>
      <c r="C62" s="95"/>
      <c r="D62" s="92">
        <v>0</v>
      </c>
      <c r="E62" s="77"/>
      <c r="F62" s="77"/>
    </row>
    <row r="63" spans="1:6" ht="16.5" thickBot="1" x14ac:dyDescent="0.3">
      <c r="A63" s="104" t="s">
        <v>341</v>
      </c>
      <c r="B63" s="23">
        <v>14589.99</v>
      </c>
      <c r="C63" s="113">
        <v>1</v>
      </c>
      <c r="D63" s="92">
        <v>0</v>
      </c>
      <c r="E63" s="77"/>
      <c r="F63" s="77"/>
    </row>
    <row r="64" spans="1:6" ht="16.5" hidden="1" thickBot="1" x14ac:dyDescent="0.3">
      <c r="A64" s="104" t="s">
        <v>284</v>
      </c>
      <c r="B64" s="229">
        <v>0</v>
      </c>
      <c r="C64" s="114">
        <v>36</v>
      </c>
      <c r="D64" s="95">
        <v>2</v>
      </c>
      <c r="E64" s="77">
        <v>1</v>
      </c>
      <c r="F64" s="77"/>
    </row>
    <row r="65" spans="1:4" s="79" customFormat="1" ht="16.5" hidden="1" thickBot="1" x14ac:dyDescent="0.3">
      <c r="A65" s="104" t="s">
        <v>285</v>
      </c>
      <c r="B65" s="229">
        <v>0</v>
      </c>
      <c r="C65" s="115">
        <v>36</v>
      </c>
      <c r="D65" s="108">
        <f>650/1.18</f>
        <v>550.84745762711873</v>
      </c>
    </row>
    <row r="66" spans="1:4" s="79" customFormat="1" ht="16.5" thickBot="1" x14ac:dyDescent="0.3">
      <c r="A66" s="116" t="s">
        <v>286</v>
      </c>
      <c r="B66" s="208">
        <f>SUM(B67:B74)</f>
        <v>120670.82922229618</v>
      </c>
      <c r="C66" s="89"/>
      <c r="D66" s="93"/>
    </row>
    <row r="67" spans="1:4" ht="16.5" hidden="1" thickBot="1" x14ac:dyDescent="0.3">
      <c r="A67" s="104" t="s">
        <v>287</v>
      </c>
      <c r="B67" s="23">
        <v>0</v>
      </c>
      <c r="C67" s="98"/>
      <c r="D67" s="108"/>
    </row>
    <row r="68" spans="1:4" ht="16.5" thickBot="1" x14ac:dyDescent="0.3">
      <c r="A68" s="104" t="s">
        <v>288</v>
      </c>
      <c r="B68" s="23">
        <f>49900*1.04*1.1194</f>
        <v>58092.382399999995</v>
      </c>
      <c r="C68" s="89"/>
      <c r="D68" s="93"/>
    </row>
    <row r="69" spans="1:4" ht="15.75" hidden="1" x14ac:dyDescent="0.25">
      <c r="A69" s="104" t="s">
        <v>289</v>
      </c>
      <c r="B69" s="23">
        <v>0</v>
      </c>
      <c r="C69" s="98"/>
      <c r="D69" s="108"/>
    </row>
    <row r="70" spans="1:4" ht="16.5" thickBot="1" x14ac:dyDescent="0.3">
      <c r="A70" s="109" t="s">
        <v>290</v>
      </c>
      <c r="B70" s="23">
        <f>'[3]34тарифы'!D164*B13*1.1194</f>
        <v>1881.026339595996</v>
      </c>
      <c r="C70" s="93"/>
      <c r="D70" s="108"/>
    </row>
    <row r="71" spans="1:4" ht="15.75" x14ac:dyDescent="0.25">
      <c r="A71" s="109" t="s">
        <v>291</v>
      </c>
      <c r="B71" s="23">
        <f>VLOOKUP(A71,[2]Лист1!S$1:T$65536,2,FALSE)*B15</f>
        <v>7049.279948233263</v>
      </c>
      <c r="C71" s="117"/>
      <c r="D71" s="93"/>
    </row>
    <row r="72" spans="1:4" ht="15.75" x14ac:dyDescent="0.25">
      <c r="A72" s="109" t="s">
        <v>292</v>
      </c>
      <c r="B72" s="23">
        <f>VLOOKUP(A72,[2]Лист1!S$1:T$65536,2,FALSE)*B15</f>
        <v>24607.77021446692</v>
      </c>
      <c r="C72" s="108"/>
      <c r="D72" s="93"/>
    </row>
    <row r="73" spans="1:4" ht="15.75" x14ac:dyDescent="0.25">
      <c r="A73" s="41" t="s">
        <v>293</v>
      </c>
      <c r="B73" s="23">
        <f>2641*1.04*1.1194</f>
        <v>3074.5888159999995</v>
      </c>
      <c r="C73" s="108"/>
      <c r="D73" s="93"/>
    </row>
    <row r="74" spans="1:4" ht="15.75" x14ac:dyDescent="0.25">
      <c r="A74" s="109" t="s">
        <v>294</v>
      </c>
      <c r="B74" s="23">
        <f>22304*1.04*1.1194</f>
        <v>25965.781503999999</v>
      </c>
      <c r="C74" s="108"/>
      <c r="D74" s="93"/>
    </row>
    <row r="75" spans="1:4" ht="47.25" x14ac:dyDescent="0.25">
      <c r="A75" s="118" t="s">
        <v>328</v>
      </c>
      <c r="B75" s="208">
        <f>SUM(B76:B76)</f>
        <v>51844.321024729608</v>
      </c>
      <c r="C75" s="108"/>
      <c r="D75" s="93"/>
    </row>
    <row r="76" spans="1:4" ht="15.75" x14ac:dyDescent="0.25">
      <c r="A76" s="109" t="s">
        <v>296</v>
      </c>
      <c r="B76" s="23">
        <f>'[3]34ОЭР'!D36*1.1194</f>
        <v>51844.321024729608</v>
      </c>
      <c r="C76" s="108"/>
      <c r="D76" s="93"/>
    </row>
    <row r="77" spans="1:4" s="79" customFormat="1" ht="15.75" x14ac:dyDescent="0.25">
      <c r="A77" s="116" t="s">
        <v>297</v>
      </c>
      <c r="B77" s="208">
        <f>SUM(B78:B81)</f>
        <v>48407.731187401609</v>
      </c>
      <c r="C77" s="108"/>
      <c r="D77" s="93"/>
    </row>
    <row r="78" spans="1:4" ht="32.25" thickBot="1" x14ac:dyDescent="0.3">
      <c r="A78" s="119" t="s">
        <v>329</v>
      </c>
      <c r="B78" s="23">
        <f>'[3]34тарифы'!D170*B15*1.1194</f>
        <v>36765.209691299933</v>
      </c>
      <c r="C78" s="96"/>
      <c r="D78" s="93"/>
    </row>
    <row r="79" spans="1:4" ht="16.5" hidden="1" thickBot="1" x14ac:dyDescent="0.3">
      <c r="A79" s="51" t="s">
        <v>299</v>
      </c>
      <c r="B79" s="23">
        <f>(B26/1.2)*30%</f>
        <v>0</v>
      </c>
      <c r="C79" s="98"/>
      <c r="D79" s="108"/>
    </row>
    <row r="80" spans="1:4" ht="15.75" x14ac:dyDescent="0.25">
      <c r="A80" s="120" t="s">
        <v>330</v>
      </c>
      <c r="B80" s="23">
        <f>3343.9+4949.92</f>
        <v>8293.82</v>
      </c>
      <c r="C80" s="117"/>
      <c r="D80" s="93"/>
    </row>
    <row r="81" spans="1:4" ht="15.75" x14ac:dyDescent="0.25">
      <c r="A81" s="120" t="s">
        <v>331</v>
      </c>
      <c r="B81" s="23">
        <f>'[3]34тарифы'!D173*B13*1.1194</f>
        <v>3348.7014961016735</v>
      </c>
      <c r="C81" s="108"/>
      <c r="D81" s="93"/>
    </row>
    <row r="82" spans="1:4" ht="15.75" x14ac:dyDescent="0.25">
      <c r="A82" s="121" t="s">
        <v>302</v>
      </c>
      <c r="B82" s="28">
        <f>B32+B42+B46+B66+B75+B77</f>
        <v>338729.04243576218</v>
      </c>
      <c r="C82" s="108"/>
      <c r="D82" s="93"/>
    </row>
    <row r="83" spans="1:4" ht="15.75" x14ac:dyDescent="0.25">
      <c r="A83" s="122" t="s">
        <v>303</v>
      </c>
      <c r="B83" s="23">
        <f>B82*0.03</f>
        <v>10161.871273072866</v>
      </c>
      <c r="C83" s="108"/>
      <c r="D83" s="93"/>
    </row>
    <row r="84" spans="1:4" s="103" customFormat="1" ht="15.75" x14ac:dyDescent="0.25">
      <c r="A84" s="123" t="s">
        <v>304</v>
      </c>
      <c r="B84" s="208">
        <f>B82+B83</f>
        <v>348890.91370883503</v>
      </c>
      <c r="C84" s="108"/>
      <c r="D84" s="93"/>
    </row>
    <row r="85" spans="1:4" ht="16.5" thickBot="1" x14ac:dyDescent="0.3">
      <c r="A85" s="124" t="s">
        <v>305</v>
      </c>
      <c r="B85" s="240">
        <f>B84*0.2</f>
        <v>69778.182741767014</v>
      </c>
      <c r="C85" s="108"/>
      <c r="D85" s="93"/>
    </row>
    <row r="86" spans="1:4" s="79" customFormat="1" ht="16.5" thickBot="1" x14ac:dyDescent="0.3">
      <c r="A86" s="125" t="s">
        <v>306</v>
      </c>
      <c r="B86" s="66">
        <f>B84+B85</f>
        <v>418669.09645060205</v>
      </c>
      <c r="C86" s="89"/>
      <c r="D86" s="126"/>
    </row>
    <row r="87" spans="1:4" s="79" customFormat="1" ht="16.5" thickBot="1" x14ac:dyDescent="0.3">
      <c r="A87" s="127" t="s">
        <v>307</v>
      </c>
      <c r="B87" s="296">
        <f>B10+B24+B26+B28+B29-B86</f>
        <v>-1204695.2564506023</v>
      </c>
      <c r="C87" s="128"/>
      <c r="D87" s="129"/>
    </row>
    <row r="88" spans="1:4" s="79" customFormat="1" ht="16.5" thickBot="1" x14ac:dyDescent="0.3">
      <c r="A88" s="130" t="s">
        <v>308</v>
      </c>
      <c r="B88" s="66">
        <f>B10+B25+B27+B28+B29-B86</f>
        <v>-1185591.5864506024</v>
      </c>
      <c r="C88" s="131"/>
      <c r="D88" s="129"/>
    </row>
    <row r="89" spans="1:4" s="79" customFormat="1" ht="16.5" hidden="1" thickBot="1" x14ac:dyDescent="0.3">
      <c r="A89" s="132" t="s">
        <v>309</v>
      </c>
      <c r="B89" s="66">
        <f>B11+B24-B25</f>
        <v>-19103.669999999984</v>
      </c>
      <c r="C89" s="129"/>
      <c r="D89" s="129"/>
    </row>
    <row r="90" spans="1:4" s="79" customFormat="1" ht="15.75" x14ac:dyDescent="0.25">
      <c r="A90" s="133"/>
      <c r="B90" s="242"/>
      <c r="C90" s="129"/>
      <c r="D90" s="129"/>
    </row>
    <row r="91" spans="1:4" ht="15.75" x14ac:dyDescent="0.25">
      <c r="A91" s="134"/>
      <c r="B91" s="3"/>
      <c r="C91" s="77"/>
      <c r="D91" s="77"/>
    </row>
    <row r="92" spans="1:4" ht="15.75" x14ac:dyDescent="0.25">
      <c r="A92" s="323" t="s">
        <v>332</v>
      </c>
      <c r="B92" s="323"/>
      <c r="C92" s="77"/>
      <c r="D92" s="77"/>
    </row>
    <row r="93" spans="1:4" ht="15.75" x14ac:dyDescent="0.25">
      <c r="A93" s="134"/>
      <c r="B93" s="3"/>
      <c r="C93" s="77"/>
      <c r="D93" s="77"/>
    </row>
    <row r="94" spans="1:4" ht="15.75" hidden="1" x14ac:dyDescent="0.25">
      <c r="A94" s="324" t="s">
        <v>333</v>
      </c>
      <c r="B94" s="324"/>
      <c r="C94" s="135"/>
      <c r="D94" s="77"/>
    </row>
    <row r="95" spans="1:4" ht="15.75" x14ac:dyDescent="0.25">
      <c r="A95" s="77"/>
      <c r="B95" s="3"/>
      <c r="C95" s="77"/>
      <c r="D95" s="77"/>
    </row>
  </sheetData>
  <autoFilter ref="A31:G89" xr:uid="{00000000-0009-0000-0000-000005000000}">
    <filterColumn colId="1">
      <filters>
        <filter val="-1 056 753,45"/>
        <filter val="-1 075 857,12"/>
        <filter val="1 881,03"/>
        <filter val="120 670,83"/>
        <filter val="16 684,70"/>
        <filter val="2 251,15"/>
        <filter val="2 691,72"/>
        <filter val="20 702,90"/>
        <filter val="24 607,77"/>
        <filter val="244,00"/>
        <filter val="25 965,78"/>
        <filter val="26 415,90"/>
        <filter val="3 074,59"/>
        <filter val="3 268,56"/>
        <filter val="3 348,70"/>
        <filter val="3 526,92"/>
        <filter val="32 033,27"/>
        <filter val="333 026,32"/>
        <filter val="343 017,11"/>
        <filter val="36 765,21"/>
        <filter val="411 620,53"/>
        <filter val="45 869,71"/>
        <filter val="46 983,67"/>
        <filter val="51 844,32"/>
        <filter val="55 078,33"/>
        <filter val="58 092,38"/>
        <filter val="6 869,76"/>
        <filter val="68 603,42"/>
        <filter val="699,45"/>
        <filter val="7 049,28"/>
        <filter val="8 379,77"/>
        <filter val="9 208,62"/>
        <filter val="9 990,79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83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pageSetUpPr fitToPage="1"/>
  </sheetPr>
  <dimension ref="A1:G103"/>
  <sheetViews>
    <sheetView view="pageBreakPreview" topLeftCell="A42" zoomScale="75" zoomScaleNormal="100" zoomScaleSheetLayoutView="75" workbookViewId="0">
      <selection activeCell="B81" sqref="B81"/>
    </sheetView>
  </sheetViews>
  <sheetFormatPr defaultRowHeight="12.75" x14ac:dyDescent="0.2"/>
  <cols>
    <col min="1" max="1" width="96.42578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13" t="s">
        <v>224</v>
      </c>
      <c r="B1" s="313"/>
      <c r="C1" s="3"/>
      <c r="D1" s="3"/>
    </row>
    <row r="2" spans="1:4" ht="16.5" x14ac:dyDescent="0.25">
      <c r="A2" s="315" t="s">
        <v>225</v>
      </c>
      <c r="B2" s="315"/>
      <c r="C2" s="3"/>
      <c r="D2" s="3"/>
    </row>
    <row r="3" spans="1:4" ht="16.5" x14ac:dyDescent="0.25">
      <c r="A3" s="315" t="s">
        <v>226</v>
      </c>
      <c r="B3" s="315"/>
      <c r="C3" s="3"/>
      <c r="D3" s="3"/>
    </row>
    <row r="4" spans="1:4" ht="15.75" x14ac:dyDescent="0.25">
      <c r="A4" s="4" t="s">
        <v>516</v>
      </c>
      <c r="B4" s="4"/>
      <c r="C4" s="3"/>
      <c r="D4" s="3"/>
    </row>
    <row r="5" spans="1:4" ht="15.75" x14ac:dyDescent="0.25">
      <c r="A5" s="4" t="s">
        <v>125</v>
      </c>
      <c r="B5" s="4"/>
      <c r="C5" s="3"/>
      <c r="D5" s="3"/>
    </row>
    <row r="6" spans="1:4" ht="5.25" customHeight="1" x14ac:dyDescent="0.25">
      <c r="A6" s="4"/>
      <c r="B6" s="8"/>
      <c r="C6" s="8"/>
      <c r="D6" s="3"/>
    </row>
    <row r="7" spans="1:4" ht="16.5" thickBot="1" x14ac:dyDescent="0.3">
      <c r="A7" s="9"/>
      <c r="B7" s="8"/>
      <c r="C7" s="8"/>
      <c r="D7" s="3"/>
    </row>
    <row r="8" spans="1:4" ht="15.75" customHeight="1" x14ac:dyDescent="0.2">
      <c r="A8" s="335" t="s">
        <v>227</v>
      </c>
      <c r="B8" s="337" t="s">
        <v>228</v>
      </c>
      <c r="C8" s="307" t="s">
        <v>229</v>
      </c>
      <c r="D8" s="307" t="s">
        <v>230</v>
      </c>
    </row>
    <row r="9" spans="1:4" ht="28.5" customHeight="1" thickBot="1" x14ac:dyDescent="0.25">
      <c r="A9" s="336"/>
      <c r="B9" s="338"/>
      <c r="C9" s="308"/>
      <c r="D9" s="308"/>
    </row>
    <row r="10" spans="1:4" s="212" customFormat="1" ht="16.5" thickBot="1" x14ac:dyDescent="0.3">
      <c r="A10" s="209" t="s">
        <v>231</v>
      </c>
      <c r="B10" s="302">
        <f>VLOOKUP(A5,мкд!S:T,2,FALSE)</f>
        <v>-877867.33</v>
      </c>
      <c r="C10" s="211"/>
      <c r="D10" s="211"/>
    </row>
    <row r="11" spans="1:4" s="212" customFormat="1" ht="16.5" hidden="1" thickBot="1" x14ac:dyDescent="0.3">
      <c r="A11" s="213" t="s">
        <v>232</v>
      </c>
      <c r="B11" s="214"/>
      <c r="C11" s="215"/>
      <c r="D11" s="215"/>
    </row>
    <row r="12" spans="1:4" ht="15.75" x14ac:dyDescent="0.25">
      <c r="A12" s="216" t="s">
        <v>233</v>
      </c>
      <c r="B12" s="217"/>
      <c r="C12" s="17" t="s">
        <v>234</v>
      </c>
      <c r="D12" s="18" t="s">
        <v>234</v>
      </c>
    </row>
    <row r="13" spans="1:4" ht="15.75" hidden="1" x14ac:dyDescent="0.25">
      <c r="A13" s="182" t="s">
        <v>235</v>
      </c>
      <c r="B13" s="20">
        <v>3517.3</v>
      </c>
      <c r="C13" s="21" t="s">
        <v>234</v>
      </c>
      <c r="D13" s="22" t="s">
        <v>234</v>
      </c>
    </row>
    <row r="14" spans="1:4" ht="15.75" hidden="1" x14ac:dyDescent="0.25">
      <c r="A14" s="182" t="s">
        <v>236</v>
      </c>
      <c r="B14" s="20">
        <v>0</v>
      </c>
      <c r="C14" s="21"/>
      <c r="D14" s="22"/>
    </row>
    <row r="15" spans="1:4" ht="15.75" x14ac:dyDescent="0.25">
      <c r="A15" s="219" t="s">
        <v>237</v>
      </c>
      <c r="B15" s="23">
        <f>B13+B14</f>
        <v>3517.3</v>
      </c>
      <c r="C15" s="21"/>
      <c r="D15" s="22"/>
    </row>
    <row r="16" spans="1:4" ht="15.75" x14ac:dyDescent="0.25">
      <c r="A16" s="219" t="s">
        <v>238</v>
      </c>
      <c r="B16" s="23">
        <f>2084.1+1326.3/3</f>
        <v>2526.1999999999998</v>
      </c>
      <c r="C16" s="21" t="s">
        <v>234</v>
      </c>
      <c r="D16" s="22" t="s">
        <v>234</v>
      </c>
    </row>
    <row r="17" spans="1:7" ht="15.75" hidden="1" x14ac:dyDescent="0.25">
      <c r="A17" s="182" t="s">
        <v>239</v>
      </c>
      <c r="B17" s="20">
        <v>0</v>
      </c>
      <c r="C17" s="21" t="s">
        <v>234</v>
      </c>
      <c r="D17" s="22" t="s">
        <v>234</v>
      </c>
      <c r="E17" s="3"/>
      <c r="F17" s="3"/>
      <c r="G17" s="3"/>
    </row>
    <row r="18" spans="1:7" ht="15.75" hidden="1" x14ac:dyDescent="0.25">
      <c r="A18" s="182" t="s">
        <v>240</v>
      </c>
      <c r="B18" s="20">
        <v>870</v>
      </c>
      <c r="C18" s="21" t="s">
        <v>234</v>
      </c>
      <c r="D18" s="22" t="s">
        <v>234</v>
      </c>
      <c r="E18" s="3"/>
      <c r="F18" s="3"/>
      <c r="G18" s="3"/>
    </row>
    <row r="19" spans="1:7" ht="15.75" hidden="1" x14ac:dyDescent="0.25">
      <c r="A19" s="182" t="s">
        <v>241</v>
      </c>
      <c r="B19" s="20">
        <v>0</v>
      </c>
      <c r="C19" s="21" t="s">
        <v>234</v>
      </c>
      <c r="D19" s="22" t="s">
        <v>234</v>
      </c>
      <c r="E19" s="3"/>
      <c r="F19" s="3"/>
      <c r="G19" s="3"/>
    </row>
    <row r="20" spans="1:7" ht="15.75" hidden="1" x14ac:dyDescent="0.25">
      <c r="A20" s="182" t="s">
        <v>242</v>
      </c>
      <c r="B20" s="20">
        <v>1131</v>
      </c>
      <c r="C20" s="21"/>
      <c r="D20" s="22"/>
      <c r="E20" s="3"/>
      <c r="F20" s="3"/>
      <c r="G20" s="3"/>
    </row>
    <row r="21" spans="1:7" ht="15.75" hidden="1" x14ac:dyDescent="0.25">
      <c r="A21" s="182" t="s">
        <v>243</v>
      </c>
      <c r="B21" s="20">
        <v>0</v>
      </c>
      <c r="C21" s="21" t="s">
        <v>234</v>
      </c>
      <c r="D21" s="22" t="s">
        <v>234</v>
      </c>
      <c r="E21" s="3"/>
      <c r="F21" s="3"/>
      <c r="G21" s="3"/>
    </row>
    <row r="22" spans="1:7" ht="15.75" hidden="1" x14ac:dyDescent="0.25">
      <c r="A22" s="182" t="s">
        <v>244</v>
      </c>
      <c r="B22" s="20">
        <v>190</v>
      </c>
      <c r="C22" s="21"/>
      <c r="D22" s="22"/>
      <c r="E22" s="3"/>
      <c r="F22" s="3"/>
      <c r="G22" s="3"/>
    </row>
    <row r="23" spans="1:7" ht="15.75" x14ac:dyDescent="0.25">
      <c r="A23" s="219"/>
      <c r="B23" s="23"/>
      <c r="C23" s="21"/>
      <c r="D23" s="22"/>
      <c r="E23" s="3">
        <v>10</v>
      </c>
      <c r="F23" s="3">
        <v>2</v>
      </c>
      <c r="G23" s="3"/>
    </row>
    <row r="24" spans="1:7" ht="15.75" x14ac:dyDescent="0.25">
      <c r="A24" s="220" t="s">
        <v>319</v>
      </c>
      <c r="B24" s="28">
        <f>VLOOKUP(A5,'[5]Лист  1'!M$1:N$65536,2,FALSE)</f>
        <v>666692.34000000008</v>
      </c>
      <c r="C24" s="21"/>
      <c r="D24" s="22"/>
      <c r="E24" s="3">
        <v>15.48</v>
      </c>
      <c r="F24" s="3">
        <v>17.328312</v>
      </c>
      <c r="G24" s="3"/>
    </row>
    <row r="25" spans="1:7" ht="15.75" x14ac:dyDescent="0.25">
      <c r="A25" s="220" t="s">
        <v>320</v>
      </c>
      <c r="B25" s="28">
        <f>VLOOKUP(A5,'[5]Лист  1'!M$1:O$65536,3,FALSE)</f>
        <v>655057.41999999993</v>
      </c>
      <c r="C25" s="21"/>
      <c r="D25" s="22"/>
      <c r="E25" s="3"/>
      <c r="F25" s="3"/>
      <c r="G25" s="3"/>
    </row>
    <row r="26" spans="1:7" ht="15.75" hidden="1" x14ac:dyDescent="0.25">
      <c r="A26" s="220" t="s">
        <v>353</v>
      </c>
      <c r="B26" s="28"/>
      <c r="C26" s="21"/>
      <c r="D26" s="22"/>
      <c r="E26" s="3"/>
      <c r="F26" s="3"/>
      <c r="G26" s="3"/>
    </row>
    <row r="27" spans="1:7" ht="15.75" hidden="1" x14ac:dyDescent="0.25">
      <c r="A27" s="220" t="s">
        <v>354</v>
      </c>
      <c r="B27" s="28"/>
      <c r="C27" s="21"/>
      <c r="D27" s="22"/>
      <c r="E27" s="3"/>
      <c r="F27" s="3"/>
      <c r="G27" s="3"/>
    </row>
    <row r="28" spans="1:7" ht="15.75" x14ac:dyDescent="0.25">
      <c r="A28" s="220" t="s">
        <v>399</v>
      </c>
      <c r="B28" s="28">
        <v>7611.96</v>
      </c>
      <c r="C28" s="21"/>
      <c r="D28" s="22"/>
      <c r="E28" s="3"/>
      <c r="F28" s="3"/>
      <c r="G28" s="3"/>
    </row>
    <row r="29" spans="1:7" ht="15.75" hidden="1" x14ac:dyDescent="0.25">
      <c r="A29" s="220" t="s">
        <v>374</v>
      </c>
      <c r="B29" s="28"/>
      <c r="C29" s="21"/>
      <c r="D29" s="22"/>
      <c r="E29" s="3"/>
      <c r="F29" s="3"/>
      <c r="G29" s="3"/>
    </row>
    <row r="30" spans="1:7" ht="18" customHeight="1" x14ac:dyDescent="0.25">
      <c r="A30" s="221"/>
      <c r="B30" s="23"/>
      <c r="C30" s="21"/>
      <c r="D30" s="22"/>
      <c r="E30" s="3"/>
      <c r="F30" s="3"/>
      <c r="G30" s="3"/>
    </row>
    <row r="31" spans="1:7" ht="15.75" x14ac:dyDescent="0.25">
      <c r="A31" s="222" t="s">
        <v>251</v>
      </c>
      <c r="B31" s="23"/>
      <c r="C31" s="21"/>
      <c r="D31" s="22"/>
      <c r="E31" s="3"/>
      <c r="F31" s="3"/>
      <c r="G31" s="3"/>
    </row>
    <row r="32" spans="1:7" s="34" customFormat="1" ht="31.5" x14ac:dyDescent="0.25">
      <c r="A32" s="223" t="s">
        <v>252</v>
      </c>
      <c r="B32" s="208">
        <f>SUM(B33:B41)</f>
        <v>132317.88</v>
      </c>
      <c r="C32" s="21"/>
      <c r="D32" s="22"/>
      <c r="E32" s="33">
        <f>(B86-B24-B26)/1.2/1.03</f>
        <v>183002.69976595647</v>
      </c>
      <c r="F32" s="33" t="e">
        <f>(#REF!-#REF!-#REF!)/1.2/1.03</f>
        <v>#REF!</v>
      </c>
      <c r="G32" s="33" t="e">
        <f>(#REF!-#REF!-#REF!)/1.2/1.03</f>
        <v>#REF!</v>
      </c>
    </row>
    <row r="33" spans="1:7" ht="15.75" x14ac:dyDescent="0.25">
      <c r="A33" s="224" t="s">
        <v>253</v>
      </c>
      <c r="B33" s="23">
        <v>65931.48</v>
      </c>
      <c r="C33" s="21"/>
      <c r="D33" s="22">
        <v>42248.9</v>
      </c>
      <c r="E33" s="3"/>
      <c r="F33" s="3"/>
      <c r="G33" s="3"/>
    </row>
    <row r="34" spans="1:7" ht="15.75" x14ac:dyDescent="0.25">
      <c r="A34" s="225" t="s">
        <v>322</v>
      </c>
      <c r="B34" s="20">
        <v>29629.06</v>
      </c>
      <c r="C34" s="21"/>
      <c r="D34" s="22">
        <v>0</v>
      </c>
      <c r="E34" s="3"/>
      <c r="F34" s="3"/>
      <c r="G34" s="3"/>
    </row>
    <row r="35" spans="1:7" ht="15.75" hidden="1" x14ac:dyDescent="0.25">
      <c r="A35" s="225" t="s">
        <v>256</v>
      </c>
      <c r="B35" s="20"/>
      <c r="C35" s="21"/>
      <c r="D35" s="22">
        <v>0</v>
      </c>
      <c r="E35" s="3"/>
      <c r="F35" s="3"/>
      <c r="G35" s="3"/>
    </row>
    <row r="36" spans="1:7" ht="15.75" x14ac:dyDescent="0.25">
      <c r="A36" s="224" t="s">
        <v>255</v>
      </c>
      <c r="B36" s="23">
        <v>36757.339999999997</v>
      </c>
      <c r="C36" s="21" t="s">
        <v>234</v>
      </c>
      <c r="D36" s="22">
        <v>0</v>
      </c>
      <c r="E36" s="3"/>
      <c r="F36" s="3"/>
      <c r="G36" s="3"/>
    </row>
    <row r="37" spans="1:7" ht="15.75" hidden="1" x14ac:dyDescent="0.25">
      <c r="A37" s="225" t="s">
        <v>257</v>
      </c>
      <c r="B37" s="20"/>
      <c r="C37" s="21"/>
      <c r="D37" s="22">
        <v>0</v>
      </c>
      <c r="E37" s="3"/>
      <c r="F37" s="3"/>
      <c r="G37" s="3"/>
    </row>
    <row r="38" spans="1:7" ht="15.75" hidden="1" x14ac:dyDescent="0.25">
      <c r="A38" s="224" t="s">
        <v>258</v>
      </c>
      <c r="B38" s="23"/>
      <c r="C38" s="21"/>
      <c r="D38" s="22">
        <v>0</v>
      </c>
      <c r="E38" s="3"/>
      <c r="F38" s="3"/>
      <c r="G38" s="3"/>
    </row>
    <row r="39" spans="1:7" ht="15.75" hidden="1" x14ac:dyDescent="0.25">
      <c r="A39" s="187" t="s">
        <v>259</v>
      </c>
      <c r="B39" s="20"/>
      <c r="C39" s="21"/>
      <c r="D39" s="22">
        <v>0</v>
      </c>
      <c r="E39" s="3"/>
      <c r="F39" s="3"/>
      <c r="G39" s="3"/>
    </row>
    <row r="40" spans="1:7" ht="15.75" hidden="1" x14ac:dyDescent="0.25">
      <c r="A40" s="187" t="s">
        <v>343</v>
      </c>
      <c r="B40" s="20"/>
      <c r="C40" s="21"/>
      <c r="D40" s="22"/>
      <c r="E40" s="3"/>
      <c r="F40" s="3"/>
      <c r="G40" s="3"/>
    </row>
    <row r="41" spans="1:7" ht="15.75" hidden="1" x14ac:dyDescent="0.25">
      <c r="A41" s="35" t="s">
        <v>313</v>
      </c>
      <c r="B41" s="23"/>
      <c r="C41" s="21"/>
      <c r="D41" s="22"/>
      <c r="E41" s="3"/>
      <c r="F41" s="3"/>
      <c r="G41" s="3"/>
    </row>
    <row r="42" spans="1:7" s="34" customFormat="1" ht="47.25" x14ac:dyDescent="0.25">
      <c r="A42" s="223" t="s">
        <v>401</v>
      </c>
      <c r="B42" s="208">
        <f>SUM(B43:B45)</f>
        <v>20900.222172866015</v>
      </c>
      <c r="C42" s="21"/>
      <c r="D42" s="22"/>
      <c r="E42" s="33"/>
      <c r="F42" s="33"/>
      <c r="G42" s="33"/>
    </row>
    <row r="43" spans="1:7" ht="15.75" x14ac:dyDescent="0.25">
      <c r="A43" s="35" t="s">
        <v>262</v>
      </c>
      <c r="B43" s="23"/>
      <c r="C43" s="39"/>
      <c r="D43" s="40"/>
      <c r="E43" s="3"/>
      <c r="F43" s="3"/>
      <c r="G43" s="3"/>
    </row>
    <row r="44" spans="1:7" ht="15.75" x14ac:dyDescent="0.25">
      <c r="A44" s="35" t="s">
        <v>263</v>
      </c>
      <c r="B44" s="23"/>
      <c r="C44" s="39"/>
      <c r="D44" s="40"/>
      <c r="E44" s="3"/>
      <c r="F44" s="3"/>
      <c r="G44" s="3"/>
    </row>
    <row r="45" spans="1:7" ht="15.75" x14ac:dyDescent="0.25">
      <c r="A45" s="226" t="s">
        <v>264</v>
      </c>
      <c r="B45" s="23">
        <f>'[6]32тарифы'!D163*B15*1.12</f>
        <v>20900.222172866015</v>
      </c>
      <c r="C45" s="39"/>
      <c r="D45" s="40"/>
      <c r="E45" s="3"/>
      <c r="F45" s="3"/>
      <c r="G45" s="3"/>
    </row>
    <row r="46" spans="1:7" s="8" customFormat="1" ht="15.75" x14ac:dyDescent="0.25">
      <c r="A46" s="223" t="s">
        <v>265</v>
      </c>
      <c r="B46" s="208">
        <f>SUM(B47:B65)</f>
        <v>92301</v>
      </c>
      <c r="C46" s="21"/>
      <c r="D46" s="22"/>
    </row>
    <row r="47" spans="1:7" ht="15.75" x14ac:dyDescent="0.25">
      <c r="A47" s="224" t="s">
        <v>326</v>
      </c>
      <c r="B47" s="23">
        <v>3654</v>
      </c>
      <c r="C47" s="21"/>
      <c r="D47" s="22"/>
      <c r="E47" s="3" t="s">
        <v>267</v>
      </c>
      <c r="F47" s="3"/>
      <c r="G47" s="3"/>
    </row>
    <row r="48" spans="1:7" ht="15.75" x14ac:dyDescent="0.25">
      <c r="A48" s="224" t="s">
        <v>317</v>
      </c>
      <c r="B48" s="23">
        <v>4437</v>
      </c>
      <c r="C48" s="21"/>
      <c r="D48" s="22"/>
      <c r="E48" s="3" t="s">
        <v>269</v>
      </c>
      <c r="F48" s="3"/>
      <c r="G48" s="3"/>
    </row>
    <row r="49" spans="1:5" ht="15.75" hidden="1" x14ac:dyDescent="0.25">
      <c r="A49" s="143" t="s">
        <v>422</v>
      </c>
      <c r="B49" s="23"/>
      <c r="C49" s="21"/>
      <c r="D49" s="22"/>
      <c r="E49" s="3"/>
    </row>
    <row r="50" spans="1:5" ht="15.75" hidden="1" x14ac:dyDescent="0.25">
      <c r="A50" s="228" t="s">
        <v>380</v>
      </c>
      <c r="B50" s="20"/>
      <c r="C50" s="21"/>
      <c r="D50" s="22"/>
      <c r="E50" s="3"/>
    </row>
    <row r="51" spans="1:5" ht="15.75" hidden="1" x14ac:dyDescent="0.25">
      <c r="A51" s="143" t="s">
        <v>421</v>
      </c>
      <c r="B51" s="23"/>
      <c r="C51" s="21"/>
      <c r="D51" s="22"/>
      <c r="E51" s="3"/>
    </row>
    <row r="52" spans="1:5" ht="15.75" hidden="1" x14ac:dyDescent="0.25">
      <c r="A52" s="143" t="s">
        <v>423</v>
      </c>
      <c r="B52" s="23"/>
      <c r="C52" s="21"/>
      <c r="D52" s="22">
        <v>105.14</v>
      </c>
      <c r="E52" s="3"/>
    </row>
    <row r="53" spans="1:5" ht="15.75" x14ac:dyDescent="0.25">
      <c r="A53" s="228" t="s">
        <v>390</v>
      </c>
      <c r="B53" s="20">
        <v>8133.62</v>
      </c>
      <c r="C53" s="21">
        <v>1</v>
      </c>
      <c r="D53" s="22">
        <v>522.99</v>
      </c>
      <c r="E53" s="3"/>
    </row>
    <row r="54" spans="1:5" ht="15.75" x14ac:dyDescent="0.25">
      <c r="A54" s="188" t="s">
        <v>424</v>
      </c>
      <c r="B54" s="20">
        <v>24000</v>
      </c>
      <c r="C54" s="21">
        <v>1</v>
      </c>
      <c r="D54" s="44">
        <v>657.53</v>
      </c>
      <c r="E54" s="3"/>
    </row>
    <row r="55" spans="1:5" ht="15.75" hidden="1" x14ac:dyDescent="0.25">
      <c r="A55" s="143" t="s">
        <v>412</v>
      </c>
      <c r="B55" s="23"/>
      <c r="C55" s="21"/>
      <c r="D55" s="44"/>
      <c r="E55" s="3"/>
    </row>
    <row r="56" spans="1:5" ht="15.75" hidden="1" x14ac:dyDescent="0.25">
      <c r="A56" s="143" t="s">
        <v>277</v>
      </c>
      <c r="B56" s="23"/>
      <c r="C56" s="21">
        <v>0</v>
      </c>
      <c r="D56" s="22">
        <f>10695.76/1.18</f>
        <v>9064.203389830509</v>
      </c>
      <c r="E56" s="3"/>
    </row>
    <row r="57" spans="1:5" ht="15.75" x14ac:dyDescent="0.25">
      <c r="A57" s="143" t="s">
        <v>540</v>
      </c>
      <c r="B57" s="23">
        <v>22915.56</v>
      </c>
      <c r="C57" s="21">
        <v>0</v>
      </c>
      <c r="D57" s="22">
        <f>2300/1.18</f>
        <v>1949.1525423728815</v>
      </c>
      <c r="E57" s="227">
        <f>B80+B46-B59+654.09</f>
        <v>109629.72</v>
      </c>
    </row>
    <row r="58" spans="1:5" ht="15.75" hidden="1" x14ac:dyDescent="0.25">
      <c r="A58" s="228" t="s">
        <v>346</v>
      </c>
      <c r="B58" s="20"/>
      <c r="C58" s="21">
        <v>0</v>
      </c>
      <c r="D58" s="22">
        <v>0</v>
      </c>
      <c r="E58" s="3"/>
    </row>
    <row r="59" spans="1:5" ht="15.75" hidden="1" x14ac:dyDescent="0.25">
      <c r="A59" s="228" t="s">
        <v>279</v>
      </c>
      <c r="B59" s="20">
        <f>B13*'[6]32тарифы'!D184</f>
        <v>0</v>
      </c>
      <c r="C59" s="21"/>
      <c r="D59" s="22"/>
      <c r="E59" s="3"/>
    </row>
    <row r="60" spans="1:5" ht="15.75" x14ac:dyDescent="0.25">
      <c r="A60" s="187" t="s">
        <v>551</v>
      </c>
      <c r="B60" s="20">
        <v>4200</v>
      </c>
      <c r="C60" s="21"/>
      <c r="D60" s="22"/>
      <c r="E60" s="3"/>
    </row>
    <row r="61" spans="1:5" ht="15.75" hidden="1" x14ac:dyDescent="0.25">
      <c r="A61" s="187" t="s">
        <v>350</v>
      </c>
      <c r="B61" s="20"/>
      <c r="C61" s="21"/>
      <c r="D61" s="22">
        <v>0</v>
      </c>
      <c r="E61" s="3"/>
    </row>
    <row r="62" spans="1:5" ht="15.75" hidden="1" x14ac:dyDescent="0.25">
      <c r="A62" s="225" t="s">
        <v>282</v>
      </c>
      <c r="B62" s="20"/>
      <c r="C62" s="21"/>
      <c r="D62" s="22">
        <v>0</v>
      </c>
      <c r="E62" s="3"/>
    </row>
    <row r="63" spans="1:5" ht="15.75" hidden="1" x14ac:dyDescent="0.25">
      <c r="A63" s="224" t="s">
        <v>327</v>
      </c>
      <c r="B63" s="229"/>
      <c r="C63" s="46">
        <v>1</v>
      </c>
      <c r="D63" s="22">
        <v>0</v>
      </c>
      <c r="E63" s="3"/>
    </row>
    <row r="64" spans="1:5" ht="17.45" customHeight="1" x14ac:dyDescent="0.25">
      <c r="A64" s="187" t="s">
        <v>283</v>
      </c>
      <c r="B64" s="112">
        <v>24783.16</v>
      </c>
      <c r="C64" s="46">
        <v>80</v>
      </c>
      <c r="D64" s="22">
        <v>2</v>
      </c>
      <c r="E64" s="3">
        <v>0</v>
      </c>
    </row>
    <row r="65" spans="1:4" ht="18" customHeight="1" x14ac:dyDescent="0.25">
      <c r="A65" s="187" t="s">
        <v>282</v>
      </c>
      <c r="B65" s="112">
        <v>177.66</v>
      </c>
      <c r="C65" s="48">
        <v>80</v>
      </c>
      <c r="D65" s="40">
        <v>560</v>
      </c>
    </row>
    <row r="66" spans="1:4" s="8" customFormat="1" ht="15.75" x14ac:dyDescent="0.25">
      <c r="A66" s="230" t="s">
        <v>286</v>
      </c>
      <c r="B66" s="208">
        <f>SUM(B67:B74)</f>
        <v>247884.99054926584</v>
      </c>
      <c r="C66" s="39"/>
      <c r="D66" s="40"/>
    </row>
    <row r="67" spans="1:4" ht="15.75" hidden="1" x14ac:dyDescent="0.25">
      <c r="A67" s="187" t="s">
        <v>287</v>
      </c>
      <c r="B67" s="20"/>
      <c r="C67" s="39"/>
      <c r="D67" s="40"/>
    </row>
    <row r="68" spans="1:4" ht="15.75" x14ac:dyDescent="0.25">
      <c r="A68" s="224" t="s">
        <v>288</v>
      </c>
      <c r="B68" s="232">
        <f>96285*1.04*1.12</f>
        <v>112152.76800000003</v>
      </c>
      <c r="C68" s="39"/>
      <c r="D68" s="40"/>
    </row>
    <row r="69" spans="1:4" ht="15.75" hidden="1" x14ac:dyDescent="0.25">
      <c r="A69" s="187" t="s">
        <v>289</v>
      </c>
      <c r="B69" s="20"/>
      <c r="C69" s="39"/>
      <c r="D69" s="40"/>
    </row>
    <row r="70" spans="1:4" ht="15.75" x14ac:dyDescent="0.25">
      <c r="A70" s="226" t="s">
        <v>290</v>
      </c>
      <c r="B70" s="23">
        <f>'[6]32тарифы'!D164*B13*1.12</f>
        <v>4343.0522251094399</v>
      </c>
      <c r="C70" s="39"/>
      <c r="D70" s="40"/>
    </row>
    <row r="71" spans="1:4" ht="15.75" x14ac:dyDescent="0.25">
      <c r="A71" s="226" t="s">
        <v>291</v>
      </c>
      <c r="B71" s="23">
        <f>'[6]32тарифы'!D165*B15*1.12</f>
        <v>22493.391563304118</v>
      </c>
      <c r="C71" s="39"/>
      <c r="D71" s="40"/>
    </row>
    <row r="72" spans="1:4" ht="15.75" x14ac:dyDescent="0.25">
      <c r="A72" s="226" t="s">
        <v>292</v>
      </c>
      <c r="B72" s="23">
        <f>1.04*35923.6715500776*1.12</f>
        <v>41843.892621530387</v>
      </c>
      <c r="C72" s="39"/>
      <c r="D72" s="40"/>
    </row>
    <row r="73" spans="1:4" ht="15.75" x14ac:dyDescent="0.25">
      <c r="A73" s="226" t="s">
        <v>293</v>
      </c>
      <c r="B73" s="23">
        <f>1.04*6095.61477270075*1.12</f>
        <v>7100.1720872418355</v>
      </c>
      <c r="C73" s="39"/>
      <c r="D73" s="40"/>
    </row>
    <row r="74" spans="1:4" ht="15.75" x14ac:dyDescent="0.25">
      <c r="A74" s="226" t="s">
        <v>294</v>
      </c>
      <c r="B74" s="23">
        <f>1.04*51469.5347287775*1.12</f>
        <v>59951.714052080039</v>
      </c>
      <c r="C74" s="39"/>
      <c r="D74" s="40"/>
    </row>
    <row r="75" spans="1:4" ht="63" x14ac:dyDescent="0.25">
      <c r="A75" s="233" t="s">
        <v>295</v>
      </c>
      <c r="B75" s="208">
        <f>SUM(B76:B76)</f>
        <v>119701.12000000001</v>
      </c>
      <c r="C75" s="39"/>
      <c r="D75" s="40"/>
    </row>
    <row r="76" spans="1:4" ht="15.75" x14ac:dyDescent="0.25">
      <c r="A76" s="226" t="s">
        <v>296</v>
      </c>
      <c r="B76" s="23">
        <f>106876*1.12</f>
        <v>119701.12000000001</v>
      </c>
      <c r="C76" s="39"/>
      <c r="D76" s="40"/>
    </row>
    <row r="77" spans="1:4" s="8" customFormat="1" ht="15.75" x14ac:dyDescent="0.25">
      <c r="A77" s="230" t="s">
        <v>297</v>
      </c>
      <c r="B77" s="208">
        <f>SUM(B78:B81)</f>
        <v>109292.5841312032</v>
      </c>
      <c r="C77" s="39"/>
      <c r="D77" s="40"/>
    </row>
    <row r="78" spans="1:4" ht="15.75" x14ac:dyDescent="0.25">
      <c r="A78" s="234" t="s">
        <v>298</v>
      </c>
      <c r="B78" s="23">
        <f>'[6]32тарифы'!D170*B15*1.12</f>
        <v>84886.225352224297</v>
      </c>
      <c r="C78" s="39"/>
      <c r="D78" s="40"/>
    </row>
    <row r="79" spans="1:4" ht="15.75" hidden="1" x14ac:dyDescent="0.25">
      <c r="A79" s="234" t="s">
        <v>299</v>
      </c>
      <c r="B79" s="232">
        <f>(B26/1.2)*30%</f>
        <v>0</v>
      </c>
      <c r="C79" s="39"/>
      <c r="D79" s="40"/>
    </row>
    <row r="80" spans="1:4" ht="15.75" x14ac:dyDescent="0.25">
      <c r="A80" s="235" t="s">
        <v>300</v>
      </c>
      <c r="B80" s="23">
        <f>10683.84+5990.79</f>
        <v>16674.63</v>
      </c>
      <c r="C80" s="39"/>
      <c r="D80" s="40"/>
    </row>
    <row r="81" spans="1:4" ht="15.75" x14ac:dyDescent="0.25">
      <c r="A81" s="235" t="s">
        <v>301</v>
      </c>
      <c r="B81" s="23">
        <f>'[6]32тарифы'!D173*B13*1.12</f>
        <v>7731.7287789788907</v>
      </c>
      <c r="C81" s="39"/>
      <c r="D81" s="40"/>
    </row>
    <row r="82" spans="1:4" ht="15.75" x14ac:dyDescent="0.25">
      <c r="A82" s="236" t="s">
        <v>302</v>
      </c>
      <c r="B82" s="28">
        <f>B32+B42+B46+B66+B75+B77</f>
        <v>722397.79685333511</v>
      </c>
      <c r="C82" s="39"/>
      <c r="D82" s="40"/>
    </row>
    <row r="83" spans="1:4" ht="15.75" x14ac:dyDescent="0.25">
      <c r="A83" s="237" t="s">
        <v>303</v>
      </c>
      <c r="B83" s="23">
        <f>B82*0.03</f>
        <v>21671.933905600054</v>
      </c>
      <c r="C83" s="39"/>
      <c r="D83" s="40"/>
    </row>
    <row r="84" spans="1:4" s="34" customFormat="1" ht="15.75" x14ac:dyDescent="0.25">
      <c r="A84" s="238" t="s">
        <v>304</v>
      </c>
      <c r="B84" s="208">
        <f>B82+B83</f>
        <v>744069.73075893521</v>
      </c>
      <c r="C84" s="39"/>
      <c r="D84" s="40"/>
    </row>
    <row r="85" spans="1:4" ht="16.5" thickBot="1" x14ac:dyDescent="0.3">
      <c r="A85" s="239" t="s">
        <v>305</v>
      </c>
      <c r="B85" s="240">
        <f>B84*0.2</f>
        <v>148813.94615178704</v>
      </c>
      <c r="C85" s="39"/>
      <c r="D85" s="40"/>
    </row>
    <row r="86" spans="1:4" s="8" customFormat="1" ht="16.5" thickBot="1" x14ac:dyDescent="0.3">
      <c r="A86" s="58" t="s">
        <v>306</v>
      </c>
      <c r="B86" s="66">
        <f>B84+B85</f>
        <v>892883.67691072228</v>
      </c>
      <c r="C86" s="60"/>
      <c r="D86" s="61"/>
    </row>
    <row r="87" spans="1:4" s="8" customFormat="1" ht="16.5" thickBot="1" x14ac:dyDescent="0.3">
      <c r="A87" s="62" t="s">
        <v>307</v>
      </c>
      <c r="B87" s="296">
        <f>B10+B24+B26+B28+B29-B86</f>
        <v>-1096446.7069107222</v>
      </c>
      <c r="C87" s="63"/>
      <c r="D87" s="63"/>
    </row>
    <row r="88" spans="1:4" s="8" customFormat="1" ht="16.5" thickBot="1" x14ac:dyDescent="0.3">
      <c r="A88" s="64" t="s">
        <v>308</v>
      </c>
      <c r="B88" s="66">
        <f>B10+B25+B27+B28+B29-B86</f>
        <v>-1108081.6269107223</v>
      </c>
      <c r="C88" s="63"/>
      <c r="D88" s="63"/>
    </row>
    <row r="89" spans="1:4" s="8" customFormat="1" ht="16.5" hidden="1" thickBot="1" x14ac:dyDescent="0.3">
      <c r="A89" s="241" t="s">
        <v>309</v>
      </c>
      <c r="B89" s="66">
        <f>B11+B24-B25</f>
        <v>11634.920000000158</v>
      </c>
      <c r="C89" s="63"/>
      <c r="D89" s="63"/>
    </row>
    <row r="90" spans="1:4" ht="15.75" x14ac:dyDescent="0.25">
      <c r="A90" s="3"/>
      <c r="B90" s="227"/>
      <c r="C90" s="3"/>
      <c r="D90" s="3"/>
    </row>
    <row r="91" spans="1:4" ht="15.75" x14ac:dyDescent="0.25">
      <c r="A91" s="69"/>
      <c r="B91" s="3"/>
      <c r="C91" s="3"/>
      <c r="D91" s="3"/>
    </row>
    <row r="92" spans="1:4" ht="15.75" x14ac:dyDescent="0.25">
      <c r="A92" s="333" t="s">
        <v>407</v>
      </c>
      <c r="B92" s="333"/>
      <c r="C92" s="3"/>
      <c r="D92" s="3"/>
    </row>
    <row r="93" spans="1:4" ht="15.75" x14ac:dyDescent="0.25">
      <c r="A93" s="69"/>
      <c r="B93" s="3"/>
      <c r="C93" s="3"/>
      <c r="D93" s="3"/>
    </row>
    <row r="94" spans="1:4" ht="15.75" hidden="1" x14ac:dyDescent="0.25">
      <c r="A94" s="342" t="s">
        <v>408</v>
      </c>
      <c r="B94" s="342"/>
      <c r="C94" s="72"/>
      <c r="D94" s="3"/>
    </row>
    <row r="101" hidden="1" x14ac:dyDescent="0.2"/>
    <row r="102" hidden="1" x14ac:dyDescent="0.2"/>
    <row r="103" hidden="1" x14ac:dyDescent="0.2"/>
  </sheetData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77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pageSetUpPr fitToPage="1"/>
  </sheetPr>
  <dimension ref="A1:G95"/>
  <sheetViews>
    <sheetView view="pageBreakPreview" topLeftCell="A34" zoomScale="75" zoomScaleNormal="100" zoomScaleSheetLayoutView="75" workbookViewId="0">
      <selection activeCell="B81" sqref="B81"/>
    </sheetView>
  </sheetViews>
  <sheetFormatPr defaultRowHeight="12.75" x14ac:dyDescent="0.2"/>
  <cols>
    <col min="1" max="1" width="96.42578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4" bestFit="1" customWidth="1"/>
  </cols>
  <sheetData>
    <row r="1" spans="1:4" ht="16.5" customHeight="1" x14ac:dyDescent="0.25">
      <c r="A1" s="313" t="s">
        <v>224</v>
      </c>
      <c r="B1" s="313"/>
      <c r="C1" s="3"/>
      <c r="D1" s="3"/>
    </row>
    <row r="2" spans="1:4" ht="16.5" x14ac:dyDescent="0.25">
      <c r="A2" s="315" t="s">
        <v>225</v>
      </c>
      <c r="B2" s="315"/>
      <c r="C2" s="3"/>
      <c r="D2" s="3"/>
    </row>
    <row r="3" spans="1:4" ht="16.5" x14ac:dyDescent="0.25">
      <c r="A3" s="315" t="s">
        <v>226</v>
      </c>
      <c r="B3" s="315"/>
      <c r="C3" s="3"/>
      <c r="D3" s="3"/>
    </row>
    <row r="4" spans="1:4" ht="15.75" x14ac:dyDescent="0.25">
      <c r="A4" s="4" t="s">
        <v>516</v>
      </c>
      <c r="B4" s="4"/>
      <c r="C4" s="3"/>
      <c r="D4" s="3"/>
    </row>
    <row r="5" spans="1:4" ht="15.75" x14ac:dyDescent="0.25">
      <c r="A5" s="4" t="s">
        <v>126</v>
      </c>
      <c r="B5" s="4"/>
      <c r="C5" s="3"/>
      <c r="D5" s="3"/>
    </row>
    <row r="6" spans="1:4" ht="5.25" customHeight="1" x14ac:dyDescent="0.25">
      <c r="A6" s="4"/>
      <c r="B6" s="8"/>
      <c r="C6" s="8"/>
      <c r="D6" s="3"/>
    </row>
    <row r="7" spans="1:4" ht="16.5" thickBot="1" x14ac:dyDescent="0.3">
      <c r="A7" s="9"/>
      <c r="B7" s="8"/>
      <c r="C7" s="8"/>
      <c r="D7" s="3"/>
    </row>
    <row r="8" spans="1:4" ht="15.75" customHeight="1" x14ac:dyDescent="0.2">
      <c r="A8" s="335" t="s">
        <v>227</v>
      </c>
      <c r="B8" s="337" t="s">
        <v>228</v>
      </c>
      <c r="C8" s="307" t="s">
        <v>229</v>
      </c>
      <c r="D8" s="307" t="s">
        <v>230</v>
      </c>
    </row>
    <row r="9" spans="1:4" ht="28.5" customHeight="1" thickBot="1" x14ac:dyDescent="0.25">
      <c r="A9" s="336"/>
      <c r="B9" s="338"/>
      <c r="C9" s="308"/>
      <c r="D9" s="308"/>
    </row>
    <row r="10" spans="1:4" s="212" customFormat="1" ht="16.5" thickBot="1" x14ac:dyDescent="0.3">
      <c r="A10" s="209" t="s">
        <v>231</v>
      </c>
      <c r="B10" s="304">
        <f>VLOOKUP(A5,мкд!S:T,2,FALSE)</f>
        <v>-556235.43999999994</v>
      </c>
      <c r="C10" s="211"/>
      <c r="D10" s="211"/>
    </row>
    <row r="11" spans="1:4" s="212" customFormat="1" ht="16.5" hidden="1" thickBot="1" x14ac:dyDescent="0.3">
      <c r="A11" s="213" t="s">
        <v>232</v>
      </c>
      <c r="B11" s="243"/>
      <c r="C11" s="215"/>
      <c r="D11" s="215"/>
    </row>
    <row r="12" spans="1:4" ht="15.75" x14ac:dyDescent="0.25">
      <c r="A12" s="216" t="s">
        <v>233</v>
      </c>
      <c r="B12" s="217"/>
      <c r="C12" s="17" t="s">
        <v>234</v>
      </c>
      <c r="D12" s="18" t="s">
        <v>234</v>
      </c>
    </row>
    <row r="13" spans="1:4" ht="15.75" hidden="1" x14ac:dyDescent="0.25">
      <c r="A13" s="182" t="s">
        <v>235</v>
      </c>
      <c r="B13" s="20">
        <v>2618.8000000000002</v>
      </c>
      <c r="C13" s="21" t="s">
        <v>234</v>
      </c>
      <c r="D13" s="22" t="s">
        <v>234</v>
      </c>
    </row>
    <row r="14" spans="1:4" ht="15.75" hidden="1" x14ac:dyDescent="0.25">
      <c r="A14" s="182" t="s">
        <v>236</v>
      </c>
      <c r="B14" s="20">
        <v>0</v>
      </c>
      <c r="C14" s="21"/>
      <c r="D14" s="22"/>
    </row>
    <row r="15" spans="1:4" ht="15.75" x14ac:dyDescent="0.25">
      <c r="A15" s="219" t="s">
        <v>237</v>
      </c>
      <c r="B15" s="23">
        <f>B13+B14</f>
        <v>2618.8000000000002</v>
      </c>
      <c r="C15" s="21"/>
      <c r="D15" s="22"/>
    </row>
    <row r="16" spans="1:4" ht="15.75" x14ac:dyDescent="0.25">
      <c r="A16" s="219" t="s">
        <v>238</v>
      </c>
      <c r="B16" s="23">
        <f>1280.5+2335.4/3</f>
        <v>2058.9666666666667</v>
      </c>
      <c r="C16" s="21" t="s">
        <v>234</v>
      </c>
      <c r="D16" s="22" t="s">
        <v>234</v>
      </c>
    </row>
    <row r="17" spans="1:7" ht="15.75" hidden="1" x14ac:dyDescent="0.25">
      <c r="A17" s="182" t="s">
        <v>239</v>
      </c>
      <c r="B17" s="20">
        <v>0</v>
      </c>
      <c r="C17" s="21" t="s">
        <v>234</v>
      </c>
      <c r="D17" s="22" t="s">
        <v>234</v>
      </c>
      <c r="E17" s="3"/>
      <c r="F17" s="3"/>
      <c r="G17" s="3"/>
    </row>
    <row r="18" spans="1:7" ht="15.75" hidden="1" x14ac:dyDescent="0.25">
      <c r="A18" s="182" t="s">
        <v>240</v>
      </c>
      <c r="B18" s="20">
        <v>679.9</v>
      </c>
      <c r="C18" s="21" t="s">
        <v>234</v>
      </c>
      <c r="D18" s="22" t="s">
        <v>234</v>
      </c>
      <c r="E18" s="3"/>
      <c r="F18" s="3"/>
      <c r="G18" s="3"/>
    </row>
    <row r="19" spans="1:7" ht="15.75" hidden="1" x14ac:dyDescent="0.25">
      <c r="A19" s="182" t="s">
        <v>241</v>
      </c>
      <c r="B19" s="20">
        <v>0</v>
      </c>
      <c r="C19" s="21" t="s">
        <v>234</v>
      </c>
      <c r="D19" s="22" t="s">
        <v>234</v>
      </c>
      <c r="E19" s="3"/>
      <c r="F19" s="3"/>
      <c r="G19" s="3"/>
    </row>
    <row r="20" spans="1:7" ht="15.75" hidden="1" x14ac:dyDescent="0.25">
      <c r="A20" s="182" t="s">
        <v>242</v>
      </c>
      <c r="B20" s="20">
        <v>747.9</v>
      </c>
      <c r="C20" s="21"/>
      <c r="D20" s="22"/>
      <c r="E20" s="3"/>
      <c r="F20" s="3"/>
      <c r="G20" s="3"/>
    </row>
    <row r="21" spans="1:7" ht="15.75" hidden="1" x14ac:dyDescent="0.25">
      <c r="A21" s="182" t="s">
        <v>243</v>
      </c>
      <c r="B21" s="20">
        <v>0</v>
      </c>
      <c r="C21" s="21" t="s">
        <v>234</v>
      </c>
      <c r="D21" s="22" t="s">
        <v>234</v>
      </c>
      <c r="E21" s="3"/>
      <c r="F21" s="3"/>
      <c r="G21" s="3"/>
    </row>
    <row r="22" spans="1:7" ht="15.75" hidden="1" x14ac:dyDescent="0.25">
      <c r="A22" s="182" t="s">
        <v>244</v>
      </c>
      <c r="B22" s="20">
        <v>155</v>
      </c>
      <c r="C22" s="21"/>
      <c r="D22" s="22"/>
      <c r="E22" s="3"/>
      <c r="F22" s="3"/>
      <c r="G22" s="3"/>
    </row>
    <row r="23" spans="1:7" ht="15.75" x14ac:dyDescent="0.25">
      <c r="A23" s="219"/>
      <c r="B23" s="23"/>
      <c r="C23" s="21"/>
      <c r="D23" s="22"/>
      <c r="E23" s="3">
        <v>10</v>
      </c>
      <c r="F23" s="3">
        <v>2</v>
      </c>
      <c r="G23" s="3"/>
    </row>
    <row r="24" spans="1:7" ht="15.75" x14ac:dyDescent="0.25">
      <c r="A24" s="220" t="s">
        <v>319</v>
      </c>
      <c r="B24" s="28">
        <f>VLOOKUP(A5,'[5]Лист  1'!M$1:N$65536,2,FALSE)</f>
        <v>496178.2</v>
      </c>
      <c r="C24" s="21"/>
      <c r="D24" s="22"/>
      <c r="E24" s="3">
        <v>15.48</v>
      </c>
      <c r="F24" s="3">
        <v>17.328312</v>
      </c>
      <c r="G24" s="3"/>
    </row>
    <row r="25" spans="1:7" ht="15.75" x14ac:dyDescent="0.25">
      <c r="A25" s="220" t="s">
        <v>320</v>
      </c>
      <c r="B25" s="28">
        <f>VLOOKUP(A5,'[5]Лист  1'!M$1:O$65536,3,FALSE)</f>
        <v>501463.72000000003</v>
      </c>
      <c r="C25" s="21"/>
      <c r="D25" s="22"/>
      <c r="E25" s="3"/>
      <c r="F25" s="3"/>
      <c r="G25" s="3"/>
    </row>
    <row r="26" spans="1:7" ht="15.75" hidden="1" x14ac:dyDescent="0.25">
      <c r="A26" s="220" t="s">
        <v>353</v>
      </c>
      <c r="B26" s="28"/>
      <c r="C26" s="21"/>
      <c r="D26" s="22"/>
      <c r="E26" s="3"/>
      <c r="F26" s="3"/>
      <c r="G26" s="3"/>
    </row>
    <row r="27" spans="1:7" ht="15.75" hidden="1" x14ac:dyDescent="0.25">
      <c r="A27" s="220" t="s">
        <v>354</v>
      </c>
      <c r="B27" s="28"/>
      <c r="C27" s="21"/>
      <c r="D27" s="22"/>
      <c r="E27" s="3"/>
      <c r="F27" s="3"/>
      <c r="G27" s="3"/>
    </row>
    <row r="28" spans="1:7" ht="15.75" x14ac:dyDescent="0.25">
      <c r="A28" s="220" t="s">
        <v>399</v>
      </c>
      <c r="B28" s="28">
        <v>5781.36</v>
      </c>
      <c r="C28" s="21"/>
      <c r="D28" s="22"/>
      <c r="E28" s="3"/>
      <c r="F28" s="3"/>
      <c r="G28" s="3"/>
    </row>
    <row r="29" spans="1:7" ht="15.75" hidden="1" x14ac:dyDescent="0.25">
      <c r="A29" s="220" t="s">
        <v>250</v>
      </c>
      <c r="B29" s="23"/>
      <c r="C29" s="21"/>
      <c r="D29" s="22"/>
      <c r="E29" s="3"/>
      <c r="F29" s="3"/>
      <c r="G29" s="3"/>
    </row>
    <row r="30" spans="1:7" ht="15.75" x14ac:dyDescent="0.25">
      <c r="A30" s="221"/>
      <c r="B30" s="23"/>
      <c r="C30" s="21"/>
      <c r="D30" s="22"/>
      <c r="E30" s="3"/>
      <c r="F30" s="3"/>
      <c r="G30" s="3"/>
    </row>
    <row r="31" spans="1:7" ht="15.75" x14ac:dyDescent="0.25">
      <c r="A31" s="222" t="s">
        <v>251</v>
      </c>
      <c r="B31" s="23"/>
      <c r="C31" s="21"/>
      <c r="D31" s="22"/>
      <c r="E31" s="3"/>
      <c r="F31" s="3"/>
      <c r="G31" s="3"/>
    </row>
    <row r="32" spans="1:7" s="34" customFormat="1" ht="31.5" x14ac:dyDescent="0.25">
      <c r="A32" s="223" t="s">
        <v>252</v>
      </c>
      <c r="B32" s="208">
        <f>SUM(B33:B41)</f>
        <v>78711.009999999995</v>
      </c>
      <c r="C32" s="21"/>
      <c r="D32" s="22"/>
      <c r="E32" s="33">
        <f>(B86-B24-B26)/1.2/1.03</f>
        <v>176739.02777107107</v>
      </c>
      <c r="F32" s="33" t="e">
        <f>(#REF!-#REF!-#REF!)/1.2/1.03</f>
        <v>#REF!</v>
      </c>
      <c r="G32" s="33" t="e">
        <f>(#REF!-#REF!-#REF!)/1.2/1.03</f>
        <v>#REF!</v>
      </c>
    </row>
    <row r="33" spans="1:7" ht="15.75" x14ac:dyDescent="0.25">
      <c r="A33" s="224" t="s">
        <v>253</v>
      </c>
      <c r="B33" s="23">
        <v>49496.1</v>
      </c>
      <c r="C33" s="21"/>
      <c r="D33" s="22">
        <v>48870.559999999998</v>
      </c>
      <c r="E33" s="3"/>
      <c r="F33" s="3"/>
      <c r="G33" s="3"/>
    </row>
    <row r="34" spans="1:7" ht="15.75" x14ac:dyDescent="0.25">
      <c r="A34" s="225" t="s">
        <v>322</v>
      </c>
      <c r="B34" s="20">
        <v>21646.68</v>
      </c>
      <c r="C34" s="21"/>
      <c r="D34" s="22">
        <v>0</v>
      </c>
      <c r="E34" s="3"/>
      <c r="F34" s="3"/>
      <c r="G34" s="3"/>
    </row>
    <row r="35" spans="1:7" ht="15.75" hidden="1" x14ac:dyDescent="0.25">
      <c r="A35" s="225" t="s">
        <v>256</v>
      </c>
      <c r="B35" s="20"/>
      <c r="C35" s="21"/>
      <c r="D35" s="22">
        <v>0</v>
      </c>
      <c r="E35" s="3"/>
      <c r="F35" s="3"/>
      <c r="G35" s="3"/>
    </row>
    <row r="36" spans="1:7" ht="15.75" x14ac:dyDescent="0.25">
      <c r="A36" s="224" t="s">
        <v>255</v>
      </c>
      <c r="B36" s="23">
        <v>7568.23</v>
      </c>
      <c r="C36" s="21" t="s">
        <v>234</v>
      </c>
      <c r="D36" s="22">
        <v>0</v>
      </c>
      <c r="E36" s="3"/>
      <c r="F36" s="3"/>
      <c r="G36" s="3"/>
    </row>
    <row r="37" spans="1:7" ht="15.75" hidden="1" x14ac:dyDescent="0.25">
      <c r="A37" s="225" t="s">
        <v>257</v>
      </c>
      <c r="B37" s="20"/>
      <c r="C37" s="21"/>
      <c r="D37" s="22">
        <v>0</v>
      </c>
      <c r="E37" s="3"/>
      <c r="F37" s="3"/>
      <c r="G37" s="3"/>
    </row>
    <row r="38" spans="1:7" ht="15.75" hidden="1" x14ac:dyDescent="0.25">
      <c r="A38" s="224" t="s">
        <v>258</v>
      </c>
      <c r="B38" s="23"/>
      <c r="C38" s="21"/>
      <c r="D38" s="22">
        <v>0</v>
      </c>
      <c r="E38" s="3"/>
      <c r="F38" s="3"/>
      <c r="G38" s="3"/>
    </row>
    <row r="39" spans="1:7" ht="15.75" hidden="1" x14ac:dyDescent="0.25">
      <c r="A39" s="187" t="s">
        <v>259</v>
      </c>
      <c r="B39" s="20"/>
      <c r="C39" s="21"/>
      <c r="D39" s="22">
        <v>0</v>
      </c>
      <c r="E39" s="3"/>
      <c r="F39" s="3"/>
      <c r="G39" s="3"/>
    </row>
    <row r="40" spans="1:7" ht="15.75" hidden="1" x14ac:dyDescent="0.25">
      <c r="A40" s="187" t="s">
        <v>343</v>
      </c>
      <c r="B40" s="20"/>
      <c r="C40" s="21"/>
      <c r="D40" s="22"/>
      <c r="E40" s="3"/>
      <c r="F40" s="3"/>
      <c r="G40" s="3"/>
    </row>
    <row r="41" spans="1:7" ht="15.75" hidden="1" x14ac:dyDescent="0.25">
      <c r="A41" s="35" t="s">
        <v>313</v>
      </c>
      <c r="B41" s="23"/>
      <c r="C41" s="21"/>
      <c r="D41" s="22"/>
      <c r="E41" s="3"/>
      <c r="F41" s="3"/>
      <c r="G41" s="3"/>
    </row>
    <row r="42" spans="1:7" s="34" customFormat="1" ht="47.25" x14ac:dyDescent="0.25">
      <c r="A42" s="223" t="s">
        <v>401</v>
      </c>
      <c r="B42" s="208">
        <f>SUM(B43:B45)</f>
        <v>15575.760196058847</v>
      </c>
      <c r="C42" s="21"/>
      <c r="D42" s="22"/>
      <c r="E42" s="33"/>
      <c r="F42" s="33"/>
      <c r="G42" s="33"/>
    </row>
    <row r="43" spans="1:7" ht="15.75" x14ac:dyDescent="0.25">
      <c r="A43" s="35" t="s">
        <v>262</v>
      </c>
      <c r="B43" s="23">
        <v>320</v>
      </c>
      <c r="C43" s="39"/>
      <c r="D43" s="40"/>
      <c r="E43" s="3"/>
      <c r="F43" s="3"/>
      <c r="G43" s="3"/>
    </row>
    <row r="44" spans="1:7" ht="15.75" x14ac:dyDescent="0.25">
      <c r="A44" s="35" t="s">
        <v>263</v>
      </c>
      <c r="B44" s="23"/>
      <c r="C44" s="39"/>
      <c r="D44" s="40"/>
      <c r="E44" s="3"/>
      <c r="F44" s="3"/>
      <c r="G44" s="3"/>
    </row>
    <row r="45" spans="1:7" ht="15.75" x14ac:dyDescent="0.25">
      <c r="A45" s="226" t="s">
        <v>264</v>
      </c>
      <c r="B45" s="23">
        <f>'[6]32тарифы'!D163*B15+1215.9*1.12</f>
        <v>15255.760196058847</v>
      </c>
      <c r="C45" s="39"/>
      <c r="D45" s="40"/>
      <c r="E45" s="3"/>
      <c r="F45" s="3"/>
      <c r="G45" s="3"/>
    </row>
    <row r="46" spans="1:7" s="8" customFormat="1" ht="15.75" x14ac:dyDescent="0.25">
      <c r="A46" s="223" t="s">
        <v>265</v>
      </c>
      <c r="B46" s="208">
        <f>SUM(B47:B65)</f>
        <v>100562.54000000001</v>
      </c>
      <c r="C46" s="21"/>
      <c r="D46" s="22"/>
    </row>
    <row r="47" spans="1:7" ht="15.75" x14ac:dyDescent="0.25">
      <c r="A47" s="224" t="s">
        <v>326</v>
      </c>
      <c r="B47" s="23">
        <v>2855.64</v>
      </c>
      <c r="C47" s="21"/>
      <c r="D47" s="22"/>
      <c r="E47" s="3" t="s">
        <v>267</v>
      </c>
      <c r="F47" s="3"/>
      <c r="G47" s="3"/>
    </row>
    <row r="48" spans="1:7" ht="15.75" x14ac:dyDescent="0.25">
      <c r="A48" s="224" t="s">
        <v>317</v>
      </c>
      <c r="B48" s="23">
        <v>3467.52</v>
      </c>
      <c r="C48" s="21"/>
      <c r="D48" s="22"/>
      <c r="E48" s="3" t="s">
        <v>269</v>
      </c>
      <c r="F48" s="3"/>
      <c r="G48" s="3"/>
    </row>
    <row r="49" spans="1:5" ht="15.75" hidden="1" x14ac:dyDescent="0.25">
      <c r="A49" s="143" t="s">
        <v>412</v>
      </c>
      <c r="B49" s="23"/>
      <c r="C49" s="21"/>
      <c r="D49" s="22"/>
      <c r="E49" s="3"/>
    </row>
    <row r="50" spans="1:5" ht="15.75" hidden="1" x14ac:dyDescent="0.25">
      <c r="A50" s="228" t="s">
        <v>380</v>
      </c>
      <c r="B50" s="20"/>
      <c r="C50" s="21"/>
      <c r="D50" s="22"/>
      <c r="E50" s="3"/>
    </row>
    <row r="51" spans="1:5" ht="15.75" hidden="1" x14ac:dyDescent="0.25">
      <c r="A51" s="143" t="s">
        <v>316</v>
      </c>
      <c r="B51" s="23"/>
      <c r="C51" s="21"/>
      <c r="D51" s="22"/>
      <c r="E51" s="3"/>
    </row>
    <row r="52" spans="1:5" ht="15.75" hidden="1" x14ac:dyDescent="0.25">
      <c r="A52" s="143" t="s">
        <v>348</v>
      </c>
      <c r="B52" s="23"/>
      <c r="C52" s="21"/>
      <c r="D52" s="22">
        <v>105.14</v>
      </c>
      <c r="E52" s="3"/>
    </row>
    <row r="53" spans="1:5" ht="15.75" x14ac:dyDescent="0.25">
      <c r="A53" s="228" t="s">
        <v>419</v>
      </c>
      <c r="B53" s="20">
        <v>24000</v>
      </c>
      <c r="C53" s="21">
        <v>1</v>
      </c>
      <c r="D53" s="22">
        <v>522.99</v>
      </c>
      <c r="E53" s="3"/>
    </row>
    <row r="54" spans="1:5" ht="15.75" x14ac:dyDescent="0.25">
      <c r="A54" s="188" t="s">
        <v>420</v>
      </c>
      <c r="B54" s="20">
        <v>8133.61</v>
      </c>
      <c r="C54" s="21">
        <v>1</v>
      </c>
      <c r="D54" s="44">
        <v>657.53</v>
      </c>
      <c r="E54" s="3"/>
    </row>
    <row r="55" spans="1:5" ht="15.75" hidden="1" x14ac:dyDescent="0.25">
      <c r="A55" s="143" t="s">
        <v>412</v>
      </c>
      <c r="B55" s="23"/>
      <c r="C55" s="21"/>
      <c r="D55" s="44"/>
      <c r="E55" s="3"/>
    </row>
    <row r="56" spans="1:5" ht="15.75" hidden="1" x14ac:dyDescent="0.25">
      <c r="A56" s="143" t="s">
        <v>277</v>
      </c>
      <c r="B56" s="23"/>
      <c r="C56" s="21">
        <v>0</v>
      </c>
      <c r="D56" s="22">
        <f>10695.76/1.18</f>
        <v>9064.203389830509</v>
      </c>
      <c r="E56" s="227">
        <f>B80+B46-B59+830.72</f>
        <v>113327.18000000001</v>
      </c>
    </row>
    <row r="57" spans="1:5" ht="15.75" hidden="1" x14ac:dyDescent="0.25">
      <c r="A57" s="143" t="s">
        <v>348</v>
      </c>
      <c r="B57" s="23"/>
      <c r="C57" s="21">
        <v>0</v>
      </c>
      <c r="D57" s="22">
        <f>2300/1.18</f>
        <v>1949.1525423728815</v>
      </c>
      <c r="E57" s="3"/>
    </row>
    <row r="58" spans="1:5" ht="15.75" hidden="1" x14ac:dyDescent="0.25">
      <c r="A58" s="228" t="s">
        <v>315</v>
      </c>
      <c r="B58" s="20"/>
      <c r="C58" s="21">
        <v>0</v>
      </c>
      <c r="D58" s="22">
        <v>0</v>
      </c>
      <c r="E58" s="3"/>
    </row>
    <row r="59" spans="1:5" ht="15.75" hidden="1" x14ac:dyDescent="0.25">
      <c r="A59" s="228" t="s">
        <v>279</v>
      </c>
      <c r="B59" s="20">
        <f>B13*'[6]32тарифы'!D184</f>
        <v>0</v>
      </c>
      <c r="C59" s="21"/>
      <c r="D59" s="22"/>
      <c r="E59" s="3"/>
    </row>
    <row r="60" spans="1:5" ht="15.75" hidden="1" x14ac:dyDescent="0.25">
      <c r="A60" s="187" t="s">
        <v>351</v>
      </c>
      <c r="B60" s="20"/>
      <c r="C60" s="21"/>
      <c r="D60" s="22"/>
      <c r="E60" s="3"/>
    </row>
    <row r="61" spans="1:5" ht="17.25" customHeight="1" x14ac:dyDescent="0.25">
      <c r="A61" s="187" t="s">
        <v>542</v>
      </c>
      <c r="B61" s="20">
        <v>4200</v>
      </c>
      <c r="C61" s="21"/>
      <c r="D61" s="22">
        <v>0</v>
      </c>
      <c r="E61" s="3"/>
    </row>
    <row r="62" spans="1:5" ht="17.25" customHeight="1" x14ac:dyDescent="0.25">
      <c r="A62" s="225" t="s">
        <v>282</v>
      </c>
      <c r="B62" s="20">
        <f>197.42+1160</f>
        <v>1357.42</v>
      </c>
      <c r="C62" s="21"/>
      <c r="D62" s="22">
        <v>0</v>
      </c>
      <c r="E62" s="3"/>
    </row>
    <row r="63" spans="1:5" ht="18.75" customHeight="1" x14ac:dyDescent="0.25">
      <c r="A63" s="224" t="s">
        <v>541</v>
      </c>
      <c r="B63" s="229">
        <v>15912</v>
      </c>
      <c r="C63" s="46">
        <v>1</v>
      </c>
      <c r="D63" s="22">
        <v>0</v>
      </c>
      <c r="E63" s="3"/>
    </row>
    <row r="64" spans="1:5" ht="18" customHeight="1" x14ac:dyDescent="0.25">
      <c r="A64" s="187" t="s">
        <v>540</v>
      </c>
      <c r="B64" s="112">
        <v>21607.47</v>
      </c>
      <c r="C64" s="46">
        <v>60</v>
      </c>
      <c r="D64" s="22">
        <v>2</v>
      </c>
      <c r="E64" s="3">
        <v>1</v>
      </c>
    </row>
    <row r="65" spans="1:4" ht="15.95" customHeight="1" x14ac:dyDescent="0.25">
      <c r="A65" s="187" t="s">
        <v>283</v>
      </c>
      <c r="B65" s="112">
        <v>19028.88</v>
      </c>
      <c r="C65" s="48">
        <v>60</v>
      </c>
      <c r="D65" s="40">
        <v>560</v>
      </c>
    </row>
    <row r="66" spans="1:4" s="8" customFormat="1" ht="15.75" x14ac:dyDescent="0.25">
      <c r="A66" s="230" t="s">
        <v>286</v>
      </c>
      <c r="B66" s="208">
        <f>SUM(B67:B74)</f>
        <v>213313.0434538305</v>
      </c>
      <c r="C66" s="39"/>
      <c r="D66" s="40"/>
    </row>
    <row r="67" spans="1:4" ht="15.75" hidden="1" x14ac:dyDescent="0.25">
      <c r="A67" s="187" t="s">
        <v>287</v>
      </c>
      <c r="B67" s="20"/>
      <c r="C67" s="39"/>
      <c r="D67" s="40"/>
    </row>
    <row r="68" spans="1:4" ht="15.75" x14ac:dyDescent="0.25">
      <c r="A68" s="224" t="s">
        <v>288</v>
      </c>
      <c r="B68" s="232">
        <f>96284*1.04*1.12</f>
        <v>112151.60320000001</v>
      </c>
      <c r="C68" s="39"/>
      <c r="D68" s="40"/>
    </row>
    <row r="69" spans="1:4" ht="15.75" hidden="1" x14ac:dyDescent="0.25">
      <c r="A69" s="187" t="s">
        <v>289</v>
      </c>
      <c r="B69" s="20"/>
      <c r="C69" s="39"/>
      <c r="D69" s="40"/>
    </row>
    <row r="70" spans="1:4" ht="15.75" x14ac:dyDescent="0.25">
      <c r="A70" s="226" t="s">
        <v>290</v>
      </c>
      <c r="B70" s="23">
        <f>'[6]32тарифы'!D164*B13*1.12</f>
        <v>3233.6124775016633</v>
      </c>
      <c r="C70" s="39"/>
      <c r="D70" s="40"/>
    </row>
    <row r="71" spans="1:4" ht="15.75" x14ac:dyDescent="0.25">
      <c r="A71" s="226" t="s">
        <v>291</v>
      </c>
      <c r="B71" s="23">
        <f>'[6]32тарифы'!D165*B15*1.12</f>
        <v>16747.418140613776</v>
      </c>
      <c r="C71" s="39"/>
      <c r="D71" s="40"/>
    </row>
    <row r="72" spans="1:4" ht="15.75" x14ac:dyDescent="0.25">
      <c r="A72" s="226" t="s">
        <v>292</v>
      </c>
      <c r="B72" s="23">
        <f>1.04*26746.9112828997*1.12</f>
        <v>31154.802262321573</v>
      </c>
      <c r="C72" s="39"/>
      <c r="D72" s="40"/>
    </row>
    <row r="73" spans="1:4" ht="15.75" x14ac:dyDescent="0.25">
      <c r="A73" s="226" t="s">
        <v>293</v>
      </c>
      <c r="B73" s="23">
        <f>1.04*4626.25007470182*1.12</f>
        <v>5388.6560870126814</v>
      </c>
      <c r="C73" s="39"/>
      <c r="D73" s="40"/>
    </row>
    <row r="74" spans="1:4" ht="15.75" x14ac:dyDescent="0.25">
      <c r="A74" s="226" t="s">
        <v>294</v>
      </c>
      <c r="B74" s="23">
        <f>1.04*38321.5584532802*1.12</f>
        <v>44636.951286380783</v>
      </c>
      <c r="C74" s="39"/>
      <c r="D74" s="40"/>
    </row>
    <row r="75" spans="1:4" ht="63" x14ac:dyDescent="0.25">
      <c r="A75" s="233" t="s">
        <v>295</v>
      </c>
      <c r="B75" s="208">
        <f>SUM(B76:B76)</f>
        <v>89122.880000000005</v>
      </c>
      <c r="C75" s="39"/>
      <c r="D75" s="40"/>
    </row>
    <row r="76" spans="1:4" ht="15.75" x14ac:dyDescent="0.25">
      <c r="A76" s="226" t="s">
        <v>296</v>
      </c>
      <c r="B76" s="23">
        <f>79574*1.12</f>
        <v>89122.880000000005</v>
      </c>
      <c r="C76" s="39"/>
      <c r="D76" s="40"/>
    </row>
    <row r="77" spans="1:4" s="8" customFormat="1" ht="15.75" x14ac:dyDescent="0.25">
      <c r="A77" s="230" t="s">
        <v>297</v>
      </c>
      <c r="B77" s="208">
        <f>SUM(B78:B81)</f>
        <v>80892.467260340301</v>
      </c>
      <c r="C77" s="39"/>
      <c r="D77" s="40"/>
    </row>
    <row r="78" spans="1:4" ht="15.75" x14ac:dyDescent="0.25">
      <c r="A78" s="234" t="s">
        <v>298</v>
      </c>
      <c r="B78" s="23">
        <f>'[6]32тарифы'!D170*B15*1.12</f>
        <v>63201.901160664427</v>
      </c>
      <c r="C78" s="39"/>
      <c r="D78" s="40"/>
    </row>
    <row r="79" spans="1:4" ht="15.75" x14ac:dyDescent="0.25">
      <c r="A79" s="234" t="s">
        <v>299</v>
      </c>
      <c r="B79" s="232">
        <f>(B26/1.2)*30%</f>
        <v>0</v>
      </c>
      <c r="C79" s="39"/>
      <c r="D79" s="40"/>
    </row>
    <row r="80" spans="1:4" ht="15.75" x14ac:dyDescent="0.25">
      <c r="A80" s="235" t="s">
        <v>300</v>
      </c>
      <c r="B80" s="23">
        <f>5416.75+6517.17</f>
        <v>11933.92</v>
      </c>
      <c r="C80" s="39"/>
      <c r="D80" s="40"/>
    </row>
    <row r="81" spans="1:4" ht="15.75" x14ac:dyDescent="0.25">
      <c r="A81" s="235" t="s">
        <v>301</v>
      </c>
      <c r="B81" s="23">
        <f>'[6]32тарифы'!D173*B13*1.12</f>
        <v>5756.6460996758651</v>
      </c>
      <c r="C81" s="39"/>
      <c r="D81" s="40"/>
    </row>
    <row r="82" spans="1:4" ht="15.75" x14ac:dyDescent="0.25">
      <c r="A82" s="236" t="s">
        <v>302</v>
      </c>
      <c r="B82" s="28">
        <f>B32+B42+B46+B66+B75+B77</f>
        <v>578177.7009102297</v>
      </c>
      <c r="C82" s="39"/>
      <c r="D82" s="40"/>
    </row>
    <row r="83" spans="1:4" ht="15.75" x14ac:dyDescent="0.25">
      <c r="A83" s="237" t="s">
        <v>303</v>
      </c>
      <c r="B83" s="23">
        <f>B82*0.03</f>
        <v>17345.331027306889</v>
      </c>
      <c r="C83" s="39"/>
      <c r="D83" s="40"/>
    </row>
    <row r="84" spans="1:4" s="34" customFormat="1" ht="15.75" x14ac:dyDescent="0.25">
      <c r="A84" s="238" t="s">
        <v>304</v>
      </c>
      <c r="B84" s="208">
        <f>B82+B83</f>
        <v>595523.03193753655</v>
      </c>
      <c r="C84" s="39"/>
      <c r="D84" s="40"/>
    </row>
    <row r="85" spans="1:4" ht="16.5" thickBot="1" x14ac:dyDescent="0.3">
      <c r="A85" s="239" t="s">
        <v>305</v>
      </c>
      <c r="B85" s="240">
        <f>B84*0.2</f>
        <v>119104.60638750732</v>
      </c>
      <c r="C85" s="39"/>
      <c r="D85" s="40"/>
    </row>
    <row r="86" spans="1:4" s="8" customFormat="1" ht="16.5" thickBot="1" x14ac:dyDescent="0.3">
      <c r="A86" s="58" t="s">
        <v>306</v>
      </c>
      <c r="B86" s="66">
        <f>B84+B85</f>
        <v>714627.63832504384</v>
      </c>
      <c r="C86" s="60"/>
      <c r="D86" s="61"/>
    </row>
    <row r="87" spans="1:4" s="8" customFormat="1" ht="16.5" thickBot="1" x14ac:dyDescent="0.3">
      <c r="A87" s="62" t="s">
        <v>307</v>
      </c>
      <c r="B87" s="296">
        <f>B10+B24+B26+B28+B29-B86</f>
        <v>-768903.51832504373</v>
      </c>
      <c r="C87" s="63"/>
      <c r="D87" s="63"/>
    </row>
    <row r="88" spans="1:4" s="8" customFormat="1" ht="16.5" thickBot="1" x14ac:dyDescent="0.3">
      <c r="A88" s="64" t="s">
        <v>308</v>
      </c>
      <c r="B88" s="66">
        <f>B10+B25+B27+B28+B29-B86</f>
        <v>-763617.99832504371</v>
      </c>
      <c r="C88" s="63"/>
      <c r="D88" s="63"/>
    </row>
    <row r="89" spans="1:4" s="8" customFormat="1" ht="16.5" hidden="1" thickBot="1" x14ac:dyDescent="0.3">
      <c r="A89" s="241" t="s">
        <v>309</v>
      </c>
      <c r="B89" s="66">
        <f>B11+B24-B25</f>
        <v>-5285.5200000000186</v>
      </c>
      <c r="C89" s="63"/>
      <c r="D89" s="63"/>
    </row>
    <row r="90" spans="1:4" ht="15.75" x14ac:dyDescent="0.25">
      <c r="A90" s="3"/>
      <c r="B90" s="227"/>
      <c r="C90" s="3"/>
      <c r="D90" s="3"/>
    </row>
    <row r="91" spans="1:4" ht="15.75" x14ac:dyDescent="0.25">
      <c r="A91" s="69"/>
      <c r="B91" s="3"/>
      <c r="C91" s="3"/>
      <c r="D91" s="3"/>
    </row>
    <row r="92" spans="1:4" ht="15.75" x14ac:dyDescent="0.25">
      <c r="A92" s="333" t="s">
        <v>407</v>
      </c>
      <c r="B92" s="333"/>
      <c r="C92" s="3"/>
      <c r="D92" s="3"/>
    </row>
    <row r="93" spans="1:4" ht="15.75" x14ac:dyDescent="0.25">
      <c r="A93" s="69"/>
      <c r="B93" s="3"/>
      <c r="C93" s="3"/>
      <c r="D93" s="3"/>
    </row>
    <row r="94" spans="1:4" ht="15.75" hidden="1" x14ac:dyDescent="0.25">
      <c r="A94" s="342" t="s">
        <v>408</v>
      </c>
      <c r="B94" s="342"/>
      <c r="C94" s="72"/>
      <c r="D94" s="3"/>
    </row>
    <row r="95" spans="1:4" ht="15.75" x14ac:dyDescent="0.25">
      <c r="A95" s="3"/>
      <c r="B95" s="3"/>
      <c r="C95" s="3"/>
      <c r="D95" s="3"/>
    </row>
  </sheetData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74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filterMode="1">
    <tabColor theme="5" tint="-0.249977111117893"/>
    <pageSetUpPr fitToPage="1"/>
  </sheetPr>
  <dimension ref="A1:G90"/>
  <sheetViews>
    <sheetView view="pageBreakPreview" topLeftCell="A35" zoomScale="80" zoomScaleNormal="100" zoomScaleSheetLayoutView="80" workbookViewId="0">
      <selection activeCell="B68" sqref="B68"/>
    </sheetView>
  </sheetViews>
  <sheetFormatPr defaultRowHeight="12.75" x14ac:dyDescent="0.2"/>
  <cols>
    <col min="1" max="1" width="91.5703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13" t="s">
        <v>224</v>
      </c>
      <c r="B1" s="314"/>
      <c r="C1" s="3"/>
      <c r="D1" s="3"/>
    </row>
    <row r="2" spans="1:4" ht="16.5" x14ac:dyDescent="0.25">
      <c r="A2" s="315" t="s">
        <v>225</v>
      </c>
      <c r="B2" s="316"/>
      <c r="C2" s="3"/>
      <c r="D2" s="3"/>
    </row>
    <row r="3" spans="1:4" ht="16.5" x14ac:dyDescent="0.25">
      <c r="A3" s="315" t="s">
        <v>226</v>
      </c>
      <c r="B3" s="316"/>
      <c r="C3" s="3"/>
      <c r="D3" s="3"/>
    </row>
    <row r="4" spans="1:4" ht="15.75" x14ac:dyDescent="0.25">
      <c r="A4" s="4" t="s">
        <v>516</v>
      </c>
      <c r="B4" s="5"/>
      <c r="C4" s="3"/>
      <c r="D4" s="3"/>
    </row>
    <row r="5" spans="1:4" ht="15.75" x14ac:dyDescent="0.25">
      <c r="A5" s="4" t="s">
        <v>129</v>
      </c>
      <c r="B5" s="6"/>
      <c r="C5" s="3"/>
      <c r="D5" s="3"/>
    </row>
    <row r="6" spans="1:4" ht="5.25" customHeight="1" x14ac:dyDescent="0.25">
      <c r="A6" s="4"/>
      <c r="B6" s="7"/>
      <c r="C6" s="8"/>
      <c r="D6" s="3"/>
    </row>
    <row r="7" spans="1:4" ht="16.5" thickBot="1" x14ac:dyDescent="0.3">
      <c r="A7" s="9"/>
      <c r="B7" s="7"/>
      <c r="C7" s="8"/>
      <c r="D7" s="3"/>
    </row>
    <row r="8" spans="1:4" ht="15.75" customHeight="1" x14ac:dyDescent="0.2">
      <c r="A8" s="317" t="s">
        <v>227</v>
      </c>
      <c r="B8" s="319" t="s">
        <v>228</v>
      </c>
      <c r="C8" s="307" t="s">
        <v>229</v>
      </c>
      <c r="D8" s="307" t="s">
        <v>230</v>
      </c>
    </row>
    <row r="9" spans="1:4" ht="28.5" customHeight="1" thickBot="1" x14ac:dyDescent="0.25">
      <c r="A9" s="318"/>
      <c r="B9" s="320"/>
      <c r="C9" s="308"/>
      <c r="D9" s="308"/>
    </row>
    <row r="10" spans="1:4" ht="16.5" thickBot="1" x14ac:dyDescent="0.25">
      <c r="A10" s="10" t="s">
        <v>231</v>
      </c>
      <c r="B10" s="301">
        <v>4761573.3099999996</v>
      </c>
      <c r="C10" s="12"/>
      <c r="D10" s="12"/>
    </row>
    <row r="11" spans="1:4" ht="16.5" thickBot="1" x14ac:dyDescent="0.25">
      <c r="A11" s="13" t="s">
        <v>232</v>
      </c>
      <c r="B11" s="11"/>
      <c r="C11" s="14"/>
      <c r="D11" s="14"/>
    </row>
    <row r="12" spans="1:4" ht="15.75" x14ac:dyDescent="0.25">
      <c r="A12" s="15" t="s">
        <v>233</v>
      </c>
      <c r="B12" s="16"/>
      <c r="C12" s="17" t="s">
        <v>234</v>
      </c>
      <c r="D12" s="18" t="s">
        <v>234</v>
      </c>
    </row>
    <row r="13" spans="1:4" ht="15.75" hidden="1" x14ac:dyDescent="0.25">
      <c r="A13" s="19" t="s">
        <v>235</v>
      </c>
      <c r="B13" s="20">
        <v>12271.6</v>
      </c>
      <c r="C13" s="21" t="s">
        <v>234</v>
      </c>
      <c r="D13" s="22" t="s">
        <v>234</v>
      </c>
    </row>
    <row r="14" spans="1:4" ht="15.75" hidden="1" x14ac:dyDescent="0.25">
      <c r="A14" s="19" t="s">
        <v>236</v>
      </c>
      <c r="B14" s="20">
        <v>2510.4</v>
      </c>
      <c r="C14" s="21"/>
      <c r="D14" s="22"/>
    </row>
    <row r="15" spans="1:4" ht="15.75" x14ac:dyDescent="0.25">
      <c r="A15" s="19" t="s">
        <v>237</v>
      </c>
      <c r="B15" s="20">
        <f>B13+B14</f>
        <v>14782</v>
      </c>
      <c r="C15" s="21"/>
      <c r="D15" s="22"/>
    </row>
    <row r="16" spans="1:4" ht="15.75" x14ac:dyDescent="0.25">
      <c r="A16" s="19" t="s">
        <v>238</v>
      </c>
      <c r="B16" s="20">
        <f>4333.4+1404.4/3</f>
        <v>4801.5333333333328</v>
      </c>
      <c r="C16" s="21" t="s">
        <v>234</v>
      </c>
      <c r="D16" s="22" t="s">
        <v>234</v>
      </c>
    </row>
    <row r="17" spans="1:7" ht="15.75" hidden="1" x14ac:dyDescent="0.25">
      <c r="A17" s="19" t="s">
        <v>239</v>
      </c>
      <c r="B17" s="20">
        <v>0</v>
      </c>
      <c r="C17" s="21" t="s">
        <v>234</v>
      </c>
      <c r="D17" s="22" t="s">
        <v>234</v>
      </c>
      <c r="E17" s="3"/>
      <c r="F17" s="3"/>
      <c r="G17" s="3"/>
    </row>
    <row r="18" spans="1:7" ht="15.75" hidden="1" x14ac:dyDescent="0.25">
      <c r="A18" s="19" t="s">
        <v>240</v>
      </c>
      <c r="B18" s="20">
        <v>1355.1</v>
      </c>
      <c r="C18" s="21" t="s">
        <v>234</v>
      </c>
      <c r="D18" s="22" t="s">
        <v>234</v>
      </c>
      <c r="E18" s="3"/>
      <c r="F18" s="3"/>
      <c r="G18" s="3"/>
    </row>
    <row r="19" spans="1:7" ht="15.75" hidden="1" x14ac:dyDescent="0.25">
      <c r="A19" s="19" t="s">
        <v>241</v>
      </c>
      <c r="B19" s="20">
        <v>583</v>
      </c>
      <c r="C19" s="21" t="s">
        <v>234</v>
      </c>
      <c r="D19" s="22" t="s">
        <v>234</v>
      </c>
      <c r="E19" s="3"/>
      <c r="F19" s="3"/>
      <c r="G19" s="3"/>
    </row>
    <row r="20" spans="1:7" ht="15.75" hidden="1" x14ac:dyDescent="0.25">
      <c r="A20" s="19" t="s">
        <v>242</v>
      </c>
      <c r="B20" s="20">
        <v>7475.1</v>
      </c>
      <c r="C20" s="21"/>
      <c r="D20" s="22"/>
      <c r="E20" s="3"/>
      <c r="F20" s="3"/>
      <c r="G20" s="3"/>
    </row>
    <row r="21" spans="1:7" ht="15.75" hidden="1" x14ac:dyDescent="0.25">
      <c r="A21" s="19" t="s">
        <v>243</v>
      </c>
      <c r="B21" s="20">
        <v>6</v>
      </c>
      <c r="C21" s="21" t="s">
        <v>234</v>
      </c>
      <c r="D21" s="22" t="s">
        <v>234</v>
      </c>
      <c r="E21" s="3"/>
      <c r="F21" s="3"/>
      <c r="G21" s="3"/>
    </row>
    <row r="22" spans="1:7" ht="15.75" hidden="1" x14ac:dyDescent="0.25">
      <c r="A22" s="19" t="s">
        <v>244</v>
      </c>
      <c r="B22" s="20">
        <v>646</v>
      </c>
      <c r="C22" s="21"/>
      <c r="D22" s="22"/>
      <c r="E22" s="3"/>
      <c r="F22" s="3"/>
      <c r="G22" s="3"/>
    </row>
    <row r="23" spans="1:7" ht="15.75" x14ac:dyDescent="0.25">
      <c r="A23" s="19"/>
      <c r="B23" s="20"/>
      <c r="C23" s="21"/>
      <c r="D23" s="22"/>
      <c r="E23" s="3">
        <v>12</v>
      </c>
      <c r="F23" s="3"/>
      <c r="G23" s="3"/>
    </row>
    <row r="24" spans="1:7" ht="15.75" x14ac:dyDescent="0.25">
      <c r="A24" s="24" t="s">
        <v>245</v>
      </c>
      <c r="B24" s="25">
        <f>VLOOKUP(A5,[7]Лист1!M$1:N$65536,2,FALSE)</f>
        <v>2574233.4700000002</v>
      </c>
      <c r="C24" s="21"/>
      <c r="D24" s="22"/>
      <c r="E24" s="26">
        <v>17.14</v>
      </c>
      <c r="F24" s="3"/>
      <c r="G24" s="3"/>
    </row>
    <row r="25" spans="1:7" ht="15.75" hidden="1" x14ac:dyDescent="0.25">
      <c r="A25" s="24" t="s">
        <v>246</v>
      </c>
      <c r="B25" s="25"/>
      <c r="C25" s="21"/>
      <c r="D25" s="22"/>
      <c r="E25" s="3"/>
      <c r="F25" s="3"/>
      <c r="G25" s="3"/>
    </row>
    <row r="26" spans="1:7" ht="15.75" x14ac:dyDescent="0.25">
      <c r="A26" s="24" t="s">
        <v>247</v>
      </c>
      <c r="B26" s="25">
        <v>531641.66</v>
      </c>
      <c r="C26" s="21"/>
      <c r="D26" s="22"/>
      <c r="E26" s="3"/>
      <c r="F26" s="3"/>
      <c r="G26" s="3"/>
    </row>
    <row r="27" spans="1:7" ht="15.75" hidden="1" x14ac:dyDescent="0.25">
      <c r="A27" s="24" t="s">
        <v>248</v>
      </c>
      <c r="B27" s="25"/>
      <c r="C27" s="21"/>
      <c r="D27" s="22"/>
      <c r="E27" s="3"/>
      <c r="F27" s="3"/>
      <c r="G27" s="3"/>
    </row>
    <row r="28" spans="1:7" ht="15.75" x14ac:dyDescent="0.25">
      <c r="A28" s="24" t="s">
        <v>249</v>
      </c>
      <c r="B28" s="25">
        <v>9289.92</v>
      </c>
      <c r="C28" s="21"/>
      <c r="D28" s="22"/>
      <c r="E28" s="3"/>
      <c r="F28" s="3"/>
      <c r="G28" s="3"/>
    </row>
    <row r="29" spans="1:7" ht="15.75" hidden="1" customHeight="1" x14ac:dyDescent="0.25">
      <c r="A29" s="24" t="s">
        <v>250</v>
      </c>
      <c r="B29" s="23"/>
      <c r="C29" s="21"/>
      <c r="D29" s="22"/>
      <c r="E29" s="3"/>
      <c r="F29" s="3"/>
      <c r="G29" s="3"/>
    </row>
    <row r="30" spans="1:7" ht="15.75" x14ac:dyDescent="0.25">
      <c r="A30" s="29"/>
      <c r="B30" s="20"/>
      <c r="C30" s="21"/>
      <c r="D30" s="22"/>
      <c r="E30" s="3"/>
      <c r="F30" s="3"/>
      <c r="G30" s="3"/>
    </row>
    <row r="31" spans="1:7" ht="15.75" x14ac:dyDescent="0.25">
      <c r="A31" s="30" t="s">
        <v>251</v>
      </c>
      <c r="B31" s="20"/>
      <c r="C31" s="21"/>
      <c r="D31" s="22"/>
      <c r="E31" s="3"/>
      <c r="F31" s="3"/>
      <c r="G31" s="3"/>
    </row>
    <row r="32" spans="1:7" s="34" customFormat="1" ht="31.5" x14ac:dyDescent="0.25">
      <c r="A32" s="31" t="s">
        <v>252</v>
      </c>
      <c r="B32" s="32">
        <f>SUM(B33:B41)</f>
        <v>253184.78</v>
      </c>
      <c r="C32" s="21"/>
      <c r="D32" s="22"/>
      <c r="E32" s="33">
        <f>(B26+B24-B73)/1.2/1.03</f>
        <v>-26268.908171559997</v>
      </c>
      <c r="F32" s="33" t="e">
        <f>(#REF!+#REF!-#REF!)/1.2/1.03</f>
        <v>#REF!</v>
      </c>
      <c r="G32" s="33" t="e">
        <f>(#REF!+#REF!-#REF!)/1.2/1.03</f>
        <v>#REF!</v>
      </c>
    </row>
    <row r="33" spans="1:7" ht="15.75" x14ac:dyDescent="0.25">
      <c r="A33" s="35" t="s">
        <v>253</v>
      </c>
      <c r="B33" s="107">
        <v>225217.85</v>
      </c>
      <c r="C33" s="21"/>
      <c r="D33" s="22">
        <v>59669.81</v>
      </c>
      <c r="E33" s="3">
        <v>74.2</v>
      </c>
      <c r="F33" s="3"/>
      <c r="G33" s="3"/>
    </row>
    <row r="34" spans="1:7" ht="15.75" hidden="1" x14ac:dyDescent="0.25">
      <c r="A34" s="35" t="s">
        <v>254</v>
      </c>
      <c r="B34" s="20"/>
      <c r="C34" s="21"/>
      <c r="D34" s="22">
        <v>0</v>
      </c>
      <c r="E34" s="3">
        <v>1.8</v>
      </c>
      <c r="F34" s="3"/>
      <c r="G34" s="3"/>
    </row>
    <row r="35" spans="1:7" ht="15.75" x14ac:dyDescent="0.25">
      <c r="A35" s="35" t="s">
        <v>255</v>
      </c>
      <c r="B35" s="107">
        <v>27966.93</v>
      </c>
      <c r="C35" s="21"/>
      <c r="D35" s="22">
        <v>0</v>
      </c>
      <c r="E35" s="3">
        <v>10.1</v>
      </c>
      <c r="F35" s="3"/>
      <c r="G35" s="3"/>
    </row>
    <row r="36" spans="1:7" ht="15.75" hidden="1" x14ac:dyDescent="0.25">
      <c r="A36" s="138" t="s">
        <v>385</v>
      </c>
      <c r="B36" s="202"/>
      <c r="C36" s="21" t="s">
        <v>234</v>
      </c>
      <c r="D36" s="22">
        <v>0</v>
      </c>
      <c r="E36" s="3">
        <v>14.9</v>
      </c>
      <c r="F36" s="3"/>
      <c r="G36" s="3"/>
    </row>
    <row r="37" spans="1:7" ht="15.75" hidden="1" x14ac:dyDescent="0.25">
      <c r="A37" s="138" t="s">
        <v>369</v>
      </c>
      <c r="B37" s="202"/>
      <c r="C37" s="21"/>
      <c r="D37" s="22">
        <v>0</v>
      </c>
      <c r="E37" s="3">
        <v>9.6999999999999993</v>
      </c>
      <c r="F37" s="3"/>
      <c r="G37" s="3"/>
    </row>
    <row r="38" spans="1:7" ht="15.75" hidden="1" x14ac:dyDescent="0.25">
      <c r="A38" s="106" t="s">
        <v>375</v>
      </c>
      <c r="B38" s="203"/>
      <c r="C38" s="21"/>
      <c r="D38" s="22">
        <v>0</v>
      </c>
      <c r="E38" s="3">
        <v>5.6</v>
      </c>
      <c r="F38" s="3"/>
      <c r="G38" s="3"/>
    </row>
    <row r="39" spans="1:7" ht="15.75" hidden="1" x14ac:dyDescent="0.25">
      <c r="A39" s="36" t="s">
        <v>386</v>
      </c>
      <c r="B39" s="37"/>
      <c r="C39" s="21"/>
      <c r="D39" s="22">
        <v>0</v>
      </c>
      <c r="E39" s="3"/>
      <c r="F39" s="3"/>
      <c r="G39" s="3"/>
    </row>
    <row r="40" spans="1:7" ht="15.75" hidden="1" x14ac:dyDescent="0.25">
      <c r="A40" s="36" t="s">
        <v>387</v>
      </c>
      <c r="B40" s="37"/>
      <c r="C40" s="21"/>
      <c r="D40" s="22"/>
      <c r="E40" s="3"/>
      <c r="F40" s="3"/>
      <c r="G40" s="3"/>
    </row>
    <row r="41" spans="1:7" ht="15.75" hidden="1" x14ac:dyDescent="0.25">
      <c r="A41" s="36" t="s">
        <v>388</v>
      </c>
      <c r="B41" s="37"/>
      <c r="C41" s="21"/>
      <c r="D41" s="22"/>
      <c r="E41" s="3"/>
      <c r="F41" s="3"/>
      <c r="G41" s="3"/>
    </row>
    <row r="42" spans="1:7" s="34" customFormat="1" ht="47.25" x14ac:dyDescent="0.25">
      <c r="A42" s="31" t="s">
        <v>261</v>
      </c>
      <c r="B42" s="32">
        <f>SUM(B43:B45)</f>
        <v>105267.69999999998</v>
      </c>
      <c r="C42" s="21"/>
      <c r="D42" s="22"/>
      <c r="E42" s="33"/>
      <c r="F42" s="33"/>
      <c r="G42" s="33"/>
    </row>
    <row r="43" spans="1:7" ht="15.75" x14ac:dyDescent="0.25">
      <c r="A43" s="35" t="s">
        <v>262</v>
      </c>
      <c r="B43" s="20">
        <v>11487.42</v>
      </c>
      <c r="C43" s="39"/>
      <c r="D43" s="40"/>
      <c r="E43" s="3">
        <v>16.399999999999999</v>
      </c>
      <c r="F43" s="3"/>
      <c r="G43" s="3"/>
    </row>
    <row r="44" spans="1:7" ht="15.75" x14ac:dyDescent="0.25">
      <c r="A44" s="35" t="s">
        <v>263</v>
      </c>
      <c r="B44" s="23">
        <v>93780.279999999984</v>
      </c>
      <c r="C44" s="39"/>
      <c r="D44" s="40"/>
      <c r="E44" s="3">
        <v>11.2</v>
      </c>
      <c r="F44" s="3"/>
      <c r="G44" s="3"/>
    </row>
    <row r="45" spans="1:7" ht="15.75" hidden="1" x14ac:dyDescent="0.25">
      <c r="A45" s="41" t="s">
        <v>264</v>
      </c>
      <c r="B45" s="20"/>
      <c r="C45" s="39"/>
      <c r="D45" s="40"/>
      <c r="E45" s="3"/>
      <c r="F45" s="3"/>
      <c r="G45" s="3"/>
    </row>
    <row r="46" spans="1:7" s="8" customFormat="1" ht="15.75" x14ac:dyDescent="0.25">
      <c r="A46" s="31" t="s">
        <v>265</v>
      </c>
      <c r="B46" s="208">
        <f>SUM(B47:B54)</f>
        <v>452817.24000000005</v>
      </c>
      <c r="C46" s="21"/>
      <c r="D46" s="22"/>
    </row>
    <row r="47" spans="1:7" ht="15.75" x14ac:dyDescent="0.25">
      <c r="A47" s="35" t="s">
        <v>266</v>
      </c>
      <c r="B47" s="23">
        <v>5691.36</v>
      </c>
      <c r="C47" s="21"/>
      <c r="D47" s="22"/>
      <c r="E47" s="3" t="s">
        <v>267</v>
      </c>
      <c r="F47" s="3"/>
      <c r="G47" s="3"/>
    </row>
    <row r="48" spans="1:7" ht="15.75" x14ac:dyDescent="0.25">
      <c r="A48" s="35" t="s">
        <v>268</v>
      </c>
      <c r="B48" s="23">
        <v>6911.04</v>
      </c>
      <c r="C48" s="21"/>
      <c r="D48" s="22"/>
      <c r="E48" s="3" t="s">
        <v>269</v>
      </c>
      <c r="F48" s="3"/>
      <c r="G48" s="3"/>
    </row>
    <row r="49" spans="1:5" ht="15.75" x14ac:dyDescent="0.25">
      <c r="A49" s="42" t="s">
        <v>270</v>
      </c>
      <c r="B49" s="22">
        <v>353672.03</v>
      </c>
      <c r="C49" s="21">
        <v>6</v>
      </c>
      <c r="D49" s="22">
        <f>5395.4*2+4379.38*4</f>
        <v>28308.32</v>
      </c>
      <c r="E49" s="3"/>
    </row>
    <row r="50" spans="1:5" ht="15.75" x14ac:dyDescent="0.25">
      <c r="A50" s="42" t="s">
        <v>389</v>
      </c>
      <c r="B50" s="22">
        <v>29400</v>
      </c>
      <c r="C50" s="21">
        <v>4</v>
      </c>
      <c r="D50" s="22">
        <v>4190</v>
      </c>
      <c r="E50" s="3"/>
    </row>
    <row r="51" spans="1:5" ht="17.25" customHeight="1" x14ac:dyDescent="0.25">
      <c r="A51" s="187" t="s">
        <v>542</v>
      </c>
      <c r="B51" s="20">
        <v>4200</v>
      </c>
      <c r="C51" s="21"/>
      <c r="D51" s="22">
        <v>0</v>
      </c>
      <c r="E51" s="3"/>
    </row>
    <row r="52" spans="1:5" ht="15.75" x14ac:dyDescent="0.25">
      <c r="A52" s="35" t="s">
        <v>327</v>
      </c>
      <c r="B52" s="47">
        <v>41560.5</v>
      </c>
      <c r="C52" s="46">
        <v>1</v>
      </c>
      <c r="D52" s="22">
        <v>0</v>
      </c>
      <c r="E52" s="3"/>
    </row>
    <row r="53" spans="1:5" ht="15.75" x14ac:dyDescent="0.25">
      <c r="A53" s="35" t="s">
        <v>390</v>
      </c>
      <c r="B53" s="47">
        <v>8133.61</v>
      </c>
      <c r="C53" s="46">
        <v>225</v>
      </c>
      <c r="D53" s="22">
        <v>2</v>
      </c>
      <c r="E53" s="3">
        <v>0</v>
      </c>
    </row>
    <row r="54" spans="1:5" ht="15.75" x14ac:dyDescent="0.25">
      <c r="A54" s="35" t="s">
        <v>391</v>
      </c>
      <c r="B54" s="47">
        <f>1348.7+1900</f>
        <v>3248.7</v>
      </c>
      <c r="C54" s="48"/>
      <c r="D54" s="40">
        <v>0</v>
      </c>
      <c r="E54" s="3"/>
    </row>
    <row r="55" spans="1:5" s="8" customFormat="1" ht="15.75" x14ac:dyDescent="0.25">
      <c r="A55" s="49" t="s">
        <v>286</v>
      </c>
      <c r="B55" s="208">
        <f>SUM(B56:B61)</f>
        <v>768175.93508224003</v>
      </c>
      <c r="C55" s="39"/>
      <c r="D55" s="40"/>
    </row>
    <row r="56" spans="1:5" ht="15.75" x14ac:dyDescent="0.25">
      <c r="A56" s="35" t="s">
        <v>288</v>
      </c>
      <c r="B56" s="23">
        <f>186814*1.04*1.12*1.0742-123</f>
        <v>233623.93748224003</v>
      </c>
      <c r="C56" s="39"/>
      <c r="D56" s="40"/>
      <c r="E56" s="3"/>
    </row>
    <row r="57" spans="1:5" ht="15.75" hidden="1" x14ac:dyDescent="0.25">
      <c r="A57" s="41" t="s">
        <v>290</v>
      </c>
      <c r="B57" s="20"/>
      <c r="C57" s="39"/>
      <c r="D57" s="40"/>
      <c r="E57" s="3"/>
    </row>
    <row r="58" spans="1:5" ht="15.75" x14ac:dyDescent="0.25">
      <c r="A58" s="41" t="s">
        <v>291</v>
      </c>
      <c r="B58" s="20">
        <f>85621*1.0742+123</f>
        <v>92097.078200000004</v>
      </c>
      <c r="C58" s="39"/>
      <c r="D58" s="40"/>
      <c r="E58" s="3"/>
    </row>
    <row r="59" spans="1:5" ht="15.75" x14ac:dyDescent="0.25">
      <c r="A59" s="41" t="s">
        <v>292</v>
      </c>
      <c r="B59" s="20">
        <f>158963*1.0742</f>
        <v>170758.0546</v>
      </c>
      <c r="C59" s="39"/>
      <c r="D59" s="40"/>
      <c r="E59" s="3"/>
    </row>
    <row r="60" spans="1:5" ht="15.75" x14ac:dyDescent="0.25">
      <c r="A60" s="41" t="s">
        <v>293</v>
      </c>
      <c r="B60" s="20">
        <f>27412*1.0742</f>
        <v>29445.970400000002</v>
      </c>
      <c r="C60" s="39"/>
      <c r="D60" s="40"/>
      <c r="E60" s="3"/>
    </row>
    <row r="61" spans="1:5" ht="15.75" x14ac:dyDescent="0.25">
      <c r="A61" s="41" t="s">
        <v>294</v>
      </c>
      <c r="B61" s="20">
        <f>225632*1.0742-123</f>
        <v>242250.89440000002</v>
      </c>
      <c r="C61" s="39"/>
      <c r="D61" s="40"/>
      <c r="E61" s="3"/>
    </row>
    <row r="62" spans="1:5" ht="63" x14ac:dyDescent="0.25">
      <c r="A62" s="50" t="s">
        <v>295</v>
      </c>
      <c r="B62" s="32">
        <f>SUM(B63:B63)</f>
        <v>422679.28800000006</v>
      </c>
      <c r="C62" s="39"/>
      <c r="D62" s="40"/>
      <c r="E62" s="3"/>
    </row>
    <row r="63" spans="1:5" ht="15.75" x14ac:dyDescent="0.25">
      <c r="A63" s="41" t="s">
        <v>296</v>
      </c>
      <c r="B63" s="20">
        <f>372000*1.12*1.0142+123</f>
        <v>422679.28800000006</v>
      </c>
      <c r="C63" s="39"/>
      <c r="D63" s="40"/>
      <c r="E63" s="3"/>
    </row>
    <row r="64" spans="1:5" s="8" customFormat="1" ht="15.75" x14ac:dyDescent="0.25">
      <c r="A64" s="49" t="s">
        <v>297</v>
      </c>
      <c r="B64" s="32">
        <f>SUM(B65:B68)</f>
        <v>536987.92140000011</v>
      </c>
      <c r="C64" s="39"/>
      <c r="D64" s="40"/>
    </row>
    <row r="65" spans="1:4" ht="15.75" x14ac:dyDescent="0.25">
      <c r="A65" s="51" t="s">
        <v>298</v>
      </c>
      <c r="B65" s="20">
        <f>319542*1.0542-123</f>
        <v>336738.1764</v>
      </c>
      <c r="C65" s="39"/>
      <c r="D65" s="40"/>
    </row>
    <row r="66" spans="1:4" ht="15" customHeight="1" x14ac:dyDescent="0.25">
      <c r="A66" s="51" t="s">
        <v>299</v>
      </c>
      <c r="B66" s="20">
        <f>B26/1.2*30%</f>
        <v>132910.41500000001</v>
      </c>
      <c r="C66" s="39"/>
      <c r="D66" s="40"/>
    </row>
    <row r="67" spans="1:4" ht="15.75" x14ac:dyDescent="0.25">
      <c r="A67" s="52" t="s">
        <v>300</v>
      </c>
      <c r="B67" s="20">
        <f>30048.3+19788.03</f>
        <v>49836.33</v>
      </c>
      <c r="C67" s="39"/>
      <c r="D67" s="40"/>
    </row>
    <row r="68" spans="1:4" ht="15.75" x14ac:dyDescent="0.25">
      <c r="A68" s="52" t="s">
        <v>301</v>
      </c>
      <c r="B68" s="20">
        <f>17526-23</f>
        <v>17503</v>
      </c>
      <c r="C68" s="39"/>
      <c r="D68" s="40"/>
    </row>
    <row r="69" spans="1:4" ht="15.75" x14ac:dyDescent="0.25">
      <c r="A69" s="53" t="s">
        <v>302</v>
      </c>
      <c r="B69" s="25">
        <f>B32+B42+B46+B55+B62+B64</f>
        <v>2539112.8644822398</v>
      </c>
      <c r="C69" s="39"/>
      <c r="D69" s="40"/>
    </row>
    <row r="70" spans="1:4" ht="15.75" x14ac:dyDescent="0.25">
      <c r="A70" s="54" t="s">
        <v>303</v>
      </c>
      <c r="B70" s="20">
        <f>B69*0.03</f>
        <v>76173.385934467195</v>
      </c>
      <c r="C70" s="39"/>
      <c r="D70" s="40"/>
    </row>
    <row r="71" spans="1:4" s="34" customFormat="1" ht="15.75" x14ac:dyDescent="0.25">
      <c r="A71" s="55" t="s">
        <v>304</v>
      </c>
      <c r="B71" s="32">
        <f>B69+B70</f>
        <v>2615286.2504167072</v>
      </c>
      <c r="C71" s="39"/>
      <c r="D71" s="40"/>
    </row>
    <row r="72" spans="1:4" ht="16.5" thickBot="1" x14ac:dyDescent="0.3">
      <c r="A72" s="56" t="s">
        <v>305</v>
      </c>
      <c r="B72" s="57">
        <f>B71*0.2</f>
        <v>523057.2500833415</v>
      </c>
      <c r="C72" s="39"/>
      <c r="D72" s="40"/>
    </row>
    <row r="73" spans="1:4" s="8" customFormat="1" ht="16.5" thickBot="1" x14ac:dyDescent="0.3">
      <c r="A73" s="58" t="s">
        <v>306</v>
      </c>
      <c r="B73" s="59">
        <f>B71+B72</f>
        <v>3138343.5005000485</v>
      </c>
      <c r="C73" s="60"/>
      <c r="D73" s="61"/>
    </row>
    <row r="74" spans="1:4" s="8" customFormat="1" ht="16.5" thickBot="1" x14ac:dyDescent="0.3">
      <c r="A74" s="62" t="s">
        <v>307</v>
      </c>
      <c r="B74" s="59">
        <f>B10+B24+B26+B28+B29-B73</f>
        <v>4738394.8594999509</v>
      </c>
      <c r="C74" s="63"/>
      <c r="D74" s="63"/>
    </row>
    <row r="75" spans="1:4" s="8" customFormat="1" ht="16.5" hidden="1" thickBot="1" x14ac:dyDescent="0.3">
      <c r="A75" s="64" t="s">
        <v>308</v>
      </c>
      <c r="B75" s="59"/>
      <c r="C75" s="63"/>
      <c r="D75" s="63"/>
    </row>
    <row r="76" spans="1:4" s="8" customFormat="1" ht="16.5" hidden="1" thickBot="1" x14ac:dyDescent="0.3">
      <c r="A76" s="65" t="s">
        <v>309</v>
      </c>
      <c r="B76" s="66"/>
      <c r="C76" s="63"/>
      <c r="D76" s="63"/>
    </row>
    <row r="77" spans="1:4" s="8" customFormat="1" ht="15.75" x14ac:dyDescent="0.25">
      <c r="A77" s="67"/>
      <c r="B77" s="68"/>
      <c r="C77" s="63"/>
      <c r="D77" s="63"/>
    </row>
    <row r="78" spans="1:4" ht="15.75" x14ac:dyDescent="0.25">
      <c r="A78" s="69"/>
      <c r="B78" s="70"/>
      <c r="C78" s="3"/>
      <c r="D78" s="3"/>
    </row>
    <row r="79" spans="1:4" ht="15.75" x14ac:dyDescent="0.25">
      <c r="A79" s="309" t="s">
        <v>392</v>
      </c>
      <c r="B79" s="310"/>
      <c r="C79" s="3"/>
      <c r="D79" s="3"/>
    </row>
    <row r="80" spans="1:4" ht="15.75" x14ac:dyDescent="0.25">
      <c r="A80" s="69"/>
      <c r="B80" s="71"/>
      <c r="C80" s="3"/>
      <c r="D80" s="3"/>
    </row>
    <row r="81" spans="1:3" ht="15.75" x14ac:dyDescent="0.25">
      <c r="A81" s="311"/>
      <c r="B81" s="312"/>
      <c r="C81" s="72"/>
    </row>
    <row r="87" spans="1:3" x14ac:dyDescent="0.2">
      <c r="B87" s="298"/>
    </row>
    <row r="89" spans="1:3" ht="15.75" hidden="1" x14ac:dyDescent="0.25">
      <c r="A89" s="3"/>
      <c r="B89" s="70"/>
      <c r="C89" s="3"/>
    </row>
    <row r="90" spans="1:3" ht="15.75" x14ac:dyDescent="0.25">
      <c r="A90" s="3"/>
      <c r="B90" s="70"/>
      <c r="C90" s="3"/>
    </row>
  </sheetData>
  <autoFilter ref="A32:B76" xr:uid="{00000000-0009-0000-0000-00003D000000}">
    <filterColumn colId="1">
      <customFilters and="1">
        <customFilter operator="notEqual" val=" "/>
      </customFilters>
    </filterColumn>
  </autoFilter>
  <mergeCells count="9">
    <mergeCell ref="D8:D9"/>
    <mergeCell ref="A79:B79"/>
    <mergeCell ref="A81:B81"/>
    <mergeCell ref="A1:B1"/>
    <mergeCell ref="A2:B2"/>
    <mergeCell ref="A3:B3"/>
    <mergeCell ref="A8:A9"/>
    <mergeCell ref="B8:B9"/>
    <mergeCell ref="C8:C9"/>
  </mergeCells>
  <phoneticPr fontId="43" type="noConversion"/>
  <pageMargins left="0.9055118110236221" right="0.9055118110236221" top="0.74803149606299213" bottom="0.74803149606299213" header="0.31496062992125984" footer="0.31496062992125984"/>
  <pageSetup paperSize="9" scale="72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filterMode="1">
    <pageSetUpPr fitToPage="1"/>
  </sheetPr>
  <dimension ref="A1:G90"/>
  <sheetViews>
    <sheetView view="pageBreakPreview" topLeftCell="A33" zoomScale="80" zoomScaleNormal="100" zoomScaleSheetLayoutView="80" workbookViewId="0">
      <selection activeCell="B68" sqref="B68"/>
    </sheetView>
  </sheetViews>
  <sheetFormatPr defaultRowHeight="12.75" x14ac:dyDescent="0.2"/>
  <cols>
    <col min="1" max="1" width="91.5703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13" t="s">
        <v>224</v>
      </c>
      <c r="B1" s="314"/>
      <c r="C1" s="3"/>
      <c r="D1" s="3"/>
    </row>
    <row r="2" spans="1:4" ht="16.5" x14ac:dyDescent="0.25">
      <c r="A2" s="315" t="s">
        <v>225</v>
      </c>
      <c r="B2" s="316"/>
      <c r="C2" s="3"/>
      <c r="D2" s="3"/>
    </row>
    <row r="3" spans="1:4" ht="16.5" x14ac:dyDescent="0.25">
      <c r="A3" s="315" t="s">
        <v>226</v>
      </c>
      <c r="B3" s="316"/>
      <c r="C3" s="3"/>
      <c r="D3" s="3"/>
    </row>
    <row r="4" spans="1:4" ht="15.75" x14ac:dyDescent="0.25">
      <c r="A4" s="4" t="s">
        <v>516</v>
      </c>
      <c r="B4" s="5"/>
      <c r="C4" s="3"/>
      <c r="D4" s="3"/>
    </row>
    <row r="5" spans="1:4" ht="15.75" x14ac:dyDescent="0.25">
      <c r="A5" s="4" t="s">
        <v>130</v>
      </c>
      <c r="B5" s="6"/>
      <c r="C5" s="3"/>
      <c r="D5" s="3"/>
    </row>
    <row r="6" spans="1:4" ht="5.25" customHeight="1" x14ac:dyDescent="0.25">
      <c r="A6" s="4"/>
      <c r="B6" s="7"/>
      <c r="C6" s="8"/>
      <c r="D6" s="3"/>
    </row>
    <row r="7" spans="1:4" ht="16.5" thickBot="1" x14ac:dyDescent="0.3">
      <c r="A7" s="9"/>
      <c r="B7" s="7"/>
      <c r="C7" s="8"/>
      <c r="D7" s="3"/>
    </row>
    <row r="8" spans="1:4" ht="15.75" customHeight="1" x14ac:dyDescent="0.2">
      <c r="A8" s="317" t="s">
        <v>227</v>
      </c>
      <c r="B8" s="319" t="s">
        <v>228</v>
      </c>
      <c r="C8" s="307" t="s">
        <v>229</v>
      </c>
      <c r="D8" s="307" t="s">
        <v>230</v>
      </c>
    </row>
    <row r="9" spans="1:4" ht="28.5" customHeight="1" thickBot="1" x14ac:dyDescent="0.25">
      <c r="A9" s="318"/>
      <c r="B9" s="320"/>
      <c r="C9" s="308"/>
      <c r="D9" s="308"/>
    </row>
    <row r="10" spans="1:4" ht="16.5" thickBot="1" x14ac:dyDescent="0.25">
      <c r="A10" s="10" t="s">
        <v>231</v>
      </c>
      <c r="B10" s="301">
        <f>VLOOKUP(A5,мкд!S:T,2,FALSE)</f>
        <v>163628.01</v>
      </c>
      <c r="C10" s="12"/>
      <c r="D10" s="12"/>
    </row>
    <row r="11" spans="1:4" ht="16.5" thickBot="1" x14ac:dyDescent="0.25">
      <c r="A11" s="13" t="s">
        <v>232</v>
      </c>
      <c r="B11" s="11"/>
      <c r="C11" s="14"/>
      <c r="D11" s="14"/>
    </row>
    <row r="12" spans="1:4" ht="15.75" x14ac:dyDescent="0.25">
      <c r="A12" s="15" t="s">
        <v>233</v>
      </c>
      <c r="B12" s="16"/>
      <c r="C12" s="17" t="s">
        <v>234</v>
      </c>
      <c r="D12" s="18" t="s">
        <v>234</v>
      </c>
    </row>
    <row r="13" spans="1:4" ht="15.75" hidden="1" x14ac:dyDescent="0.25">
      <c r="A13" s="19" t="s">
        <v>235</v>
      </c>
      <c r="B13" s="20">
        <v>1534.9</v>
      </c>
      <c r="C13" s="21" t="s">
        <v>234</v>
      </c>
      <c r="D13" s="22" t="s">
        <v>234</v>
      </c>
    </row>
    <row r="14" spans="1:4" ht="15.75" hidden="1" x14ac:dyDescent="0.25">
      <c r="A14" s="19" t="s">
        <v>236</v>
      </c>
      <c r="B14" s="20">
        <v>141.19999999999999</v>
      </c>
      <c r="C14" s="21"/>
      <c r="D14" s="22"/>
    </row>
    <row r="15" spans="1:4" ht="15.75" x14ac:dyDescent="0.25">
      <c r="A15" s="19" t="s">
        <v>237</v>
      </c>
      <c r="B15" s="20">
        <f>B13+B14</f>
        <v>1676.1000000000001</v>
      </c>
      <c r="C15" s="21"/>
      <c r="D15" s="22"/>
    </row>
    <row r="16" spans="1:4" ht="15.75" x14ac:dyDescent="0.25">
      <c r="A16" s="19" t="s">
        <v>238</v>
      </c>
      <c r="B16" s="20">
        <f>1186+558.3/3</f>
        <v>1372.1</v>
      </c>
      <c r="C16" s="21" t="s">
        <v>234</v>
      </c>
      <c r="D16" s="22" t="s">
        <v>234</v>
      </c>
    </row>
    <row r="17" spans="1:7" ht="15.75" hidden="1" x14ac:dyDescent="0.25">
      <c r="A17" s="19" t="s">
        <v>239</v>
      </c>
      <c r="B17" s="20">
        <v>0</v>
      </c>
      <c r="C17" s="21" t="s">
        <v>234</v>
      </c>
      <c r="D17" s="22" t="s">
        <v>234</v>
      </c>
      <c r="E17" s="3"/>
      <c r="F17" s="3"/>
      <c r="G17" s="3"/>
    </row>
    <row r="18" spans="1:7" ht="15.75" hidden="1" x14ac:dyDescent="0.25">
      <c r="A18" s="19" t="s">
        <v>240</v>
      </c>
      <c r="B18" s="20">
        <v>458.9</v>
      </c>
      <c r="C18" s="21" t="s">
        <v>234</v>
      </c>
      <c r="D18" s="22" t="s">
        <v>234</v>
      </c>
      <c r="E18" s="3"/>
      <c r="F18" s="3"/>
      <c r="G18" s="3"/>
    </row>
    <row r="19" spans="1:7" ht="15.75" hidden="1" x14ac:dyDescent="0.25">
      <c r="A19" s="19" t="s">
        <v>241</v>
      </c>
      <c r="B19" s="20">
        <v>0</v>
      </c>
      <c r="C19" s="21" t="s">
        <v>234</v>
      </c>
      <c r="D19" s="22" t="s">
        <v>234</v>
      </c>
      <c r="E19" s="3"/>
      <c r="F19" s="3"/>
      <c r="G19" s="3"/>
    </row>
    <row r="20" spans="1:7" ht="15.75" hidden="1" x14ac:dyDescent="0.25">
      <c r="A20" s="19" t="s">
        <v>242</v>
      </c>
      <c r="B20" s="20">
        <v>504.8</v>
      </c>
      <c r="C20" s="21"/>
      <c r="D20" s="22"/>
      <c r="E20" s="3"/>
      <c r="F20" s="3"/>
      <c r="G20" s="3"/>
    </row>
    <row r="21" spans="1:7" ht="15.75" hidden="1" x14ac:dyDescent="0.25">
      <c r="A21" s="19" t="s">
        <v>243</v>
      </c>
      <c r="B21" s="20">
        <v>0</v>
      </c>
      <c r="C21" s="21" t="s">
        <v>234</v>
      </c>
      <c r="D21" s="22" t="s">
        <v>234</v>
      </c>
      <c r="E21" s="3"/>
      <c r="F21" s="3"/>
      <c r="G21" s="3"/>
    </row>
    <row r="22" spans="1:7" ht="15.75" hidden="1" x14ac:dyDescent="0.25">
      <c r="A22" s="19" t="s">
        <v>244</v>
      </c>
      <c r="B22" s="20">
        <v>68</v>
      </c>
      <c r="C22" s="21"/>
      <c r="D22" s="22"/>
      <c r="E22" s="3"/>
      <c r="F22" s="3"/>
      <c r="G22" s="3"/>
    </row>
    <row r="23" spans="1:7" ht="15.75" x14ac:dyDescent="0.25">
      <c r="A23" s="19"/>
      <c r="B23" s="20"/>
      <c r="C23" s="21"/>
      <c r="D23" s="22"/>
      <c r="E23" s="3">
        <v>10</v>
      </c>
      <c r="F23" s="3">
        <v>2</v>
      </c>
      <c r="G23" s="3"/>
    </row>
    <row r="24" spans="1:7" ht="15.75" x14ac:dyDescent="0.25">
      <c r="A24" s="24" t="s">
        <v>245</v>
      </c>
      <c r="B24" s="25">
        <f>VLOOKUP(A5,[7]Лист1!M$1:N$65536,2,FALSE)</f>
        <v>302068.2</v>
      </c>
      <c r="C24" s="21"/>
      <c r="D24" s="22"/>
      <c r="E24" s="26">
        <v>16.0800000248</v>
      </c>
      <c r="F24" s="27">
        <v>17.999952027761118</v>
      </c>
      <c r="G24" s="3"/>
    </row>
    <row r="25" spans="1:7" ht="15.75" x14ac:dyDescent="0.25">
      <c r="A25" s="24" t="s">
        <v>246</v>
      </c>
      <c r="B25" s="25">
        <f>VLOOKUP(A5,[7]Лист1!M$1:O$65536,3,FALSE)</f>
        <v>305493.65000000002</v>
      </c>
      <c r="C25" s="21"/>
      <c r="D25" s="22"/>
      <c r="E25" s="3"/>
      <c r="F25" s="3"/>
      <c r="G25" s="3"/>
    </row>
    <row r="26" spans="1:7" ht="15.75" hidden="1" x14ac:dyDescent="0.25">
      <c r="A26" s="24" t="s">
        <v>247</v>
      </c>
      <c r="B26" s="25"/>
      <c r="C26" s="21"/>
      <c r="D26" s="22"/>
      <c r="E26" s="3"/>
      <c r="F26" s="3"/>
      <c r="G26" s="3"/>
    </row>
    <row r="27" spans="1:7" ht="15.75" hidden="1" x14ac:dyDescent="0.25">
      <c r="A27" s="24" t="s">
        <v>248</v>
      </c>
      <c r="B27" s="25"/>
      <c r="C27" s="21"/>
      <c r="D27" s="22"/>
      <c r="E27" s="3"/>
      <c r="F27" s="3"/>
      <c r="G27" s="3"/>
    </row>
    <row r="28" spans="1:7" ht="15.75" hidden="1" x14ac:dyDescent="0.25">
      <c r="A28" s="24" t="s">
        <v>249</v>
      </c>
      <c r="B28" s="25"/>
      <c r="C28" s="21"/>
      <c r="D28" s="22"/>
      <c r="E28" s="3"/>
      <c r="F28" s="3"/>
      <c r="G28" s="3"/>
    </row>
    <row r="29" spans="1:7" ht="15.75" hidden="1" x14ac:dyDescent="0.25">
      <c r="A29" s="24" t="s">
        <v>250</v>
      </c>
      <c r="B29" s="20"/>
      <c r="C29" s="21"/>
      <c r="D29" s="22"/>
      <c r="E29" s="3"/>
      <c r="F29" s="3"/>
      <c r="G29" s="3"/>
    </row>
    <row r="30" spans="1:7" ht="15.75" x14ac:dyDescent="0.25">
      <c r="A30" s="29"/>
      <c r="B30" s="20"/>
      <c r="C30" s="21"/>
      <c r="D30" s="22"/>
      <c r="E30" s="3"/>
      <c r="F30" s="3"/>
      <c r="G30" s="3"/>
    </row>
    <row r="31" spans="1:7" ht="15.75" x14ac:dyDescent="0.25">
      <c r="A31" s="30" t="s">
        <v>251</v>
      </c>
      <c r="B31" s="20"/>
      <c r="C31" s="21"/>
      <c r="D31" s="22"/>
      <c r="E31" s="3"/>
      <c r="F31" s="3"/>
      <c r="G31" s="3"/>
    </row>
    <row r="32" spans="1:7" s="34" customFormat="1" ht="31.5" x14ac:dyDescent="0.25">
      <c r="A32" s="31" t="s">
        <v>252</v>
      </c>
      <c r="B32" s="32">
        <f>SUM(B33:B41)</f>
        <v>98619.97</v>
      </c>
      <c r="C32" s="21"/>
      <c r="D32" s="22"/>
      <c r="E32" s="33">
        <f>(B26+B24-B73)/1.2/1.03</f>
        <v>-131662.17722718447</v>
      </c>
      <c r="F32" s="33" t="e">
        <f>(#REF!+#REF!-#REF!)/1.2/1.03</f>
        <v>#REF!</v>
      </c>
      <c r="G32" s="33" t="e">
        <f>(#REF!+#REF!-#REF!)/1.2/1.03</f>
        <v>#REF!</v>
      </c>
    </row>
    <row r="33" spans="1:7" ht="15.75" x14ac:dyDescent="0.25">
      <c r="A33" s="35" t="s">
        <v>253</v>
      </c>
      <c r="B33" s="20">
        <v>80934.070000000007</v>
      </c>
      <c r="C33" s="21"/>
      <c r="D33" s="22">
        <v>14955.19</v>
      </c>
      <c r="E33" s="105">
        <v>14565.33</v>
      </c>
      <c r="F33" s="3"/>
      <c r="G33" s="3"/>
    </row>
    <row r="34" spans="1:7" ht="15.75" x14ac:dyDescent="0.25">
      <c r="A34" s="138" t="s">
        <v>334</v>
      </c>
      <c r="B34" s="202">
        <v>5804.25</v>
      </c>
      <c r="C34" s="21"/>
      <c r="D34" s="22">
        <v>0</v>
      </c>
      <c r="E34" s="105">
        <f>25815.31+7991.1+14002.22</f>
        <v>47808.630000000005</v>
      </c>
      <c r="F34" s="3"/>
      <c r="G34" s="3"/>
    </row>
    <row r="35" spans="1:7" ht="15.75" x14ac:dyDescent="0.25">
      <c r="A35" s="138" t="s">
        <v>384</v>
      </c>
      <c r="B35" s="202">
        <v>11881.65</v>
      </c>
      <c r="C35" s="21"/>
      <c r="D35" s="22">
        <v>0</v>
      </c>
      <c r="E35" s="105">
        <f>18631.71+10752.2</f>
        <v>29383.91</v>
      </c>
      <c r="F35" s="3"/>
      <c r="G35" s="3"/>
    </row>
    <row r="36" spans="1:7" ht="15.75" hidden="1" x14ac:dyDescent="0.25">
      <c r="A36" s="35" t="s">
        <v>256</v>
      </c>
      <c r="B36" s="23"/>
      <c r="C36" s="21" t="s">
        <v>234</v>
      </c>
      <c r="D36" s="22">
        <v>0</v>
      </c>
      <c r="E36" s="3"/>
      <c r="F36" s="3"/>
      <c r="G36" s="3"/>
    </row>
    <row r="37" spans="1:7" ht="15.75" hidden="1" x14ac:dyDescent="0.25">
      <c r="A37" s="35" t="s">
        <v>257</v>
      </c>
      <c r="B37" s="23"/>
      <c r="C37" s="21"/>
      <c r="D37" s="22">
        <v>0</v>
      </c>
      <c r="E37" s="3"/>
      <c r="F37" s="3"/>
      <c r="G37" s="3"/>
    </row>
    <row r="38" spans="1:7" ht="15.75" hidden="1" x14ac:dyDescent="0.25">
      <c r="A38" s="35" t="s">
        <v>258</v>
      </c>
      <c r="B38" s="23">
        <v>0</v>
      </c>
      <c r="C38" s="21"/>
      <c r="D38" s="22">
        <v>0</v>
      </c>
      <c r="E38" s="3"/>
      <c r="F38" s="3"/>
      <c r="G38" s="3"/>
    </row>
    <row r="39" spans="1:7" ht="15.75" hidden="1" x14ac:dyDescent="0.25">
      <c r="A39" s="35" t="s">
        <v>259</v>
      </c>
      <c r="B39" s="23">
        <v>0</v>
      </c>
      <c r="C39" s="21"/>
      <c r="D39" s="22">
        <v>0</v>
      </c>
      <c r="E39" s="3"/>
      <c r="F39" s="3"/>
      <c r="G39" s="3"/>
    </row>
    <row r="40" spans="1:7" ht="15.75" hidden="1" x14ac:dyDescent="0.25">
      <c r="A40" s="35" t="s">
        <v>312</v>
      </c>
      <c r="B40" s="23">
        <v>0</v>
      </c>
      <c r="C40" s="21"/>
      <c r="D40" s="22"/>
      <c r="E40" s="3"/>
      <c r="F40" s="3"/>
      <c r="G40" s="3"/>
    </row>
    <row r="41" spans="1:7" ht="15.75" hidden="1" x14ac:dyDescent="0.25">
      <c r="A41" s="35" t="s">
        <v>313</v>
      </c>
      <c r="B41" s="23">
        <v>0</v>
      </c>
      <c r="C41" s="21"/>
      <c r="D41" s="22"/>
      <c r="E41" s="3"/>
      <c r="F41" s="3"/>
      <c r="G41" s="3"/>
    </row>
    <row r="42" spans="1:7" s="34" customFormat="1" ht="47.25" x14ac:dyDescent="0.25">
      <c r="A42" s="31" t="s">
        <v>261</v>
      </c>
      <c r="B42" s="32">
        <f>SUM(B43:B45)</f>
        <v>8960</v>
      </c>
      <c r="C42" s="21"/>
      <c r="D42" s="22"/>
      <c r="E42" s="105">
        <v>14565.33</v>
      </c>
      <c r="F42" s="33"/>
      <c r="G42" s="33"/>
    </row>
    <row r="43" spans="1:7" ht="15.75" hidden="1" x14ac:dyDescent="0.25">
      <c r="A43" s="35" t="s">
        <v>262</v>
      </c>
      <c r="B43" s="20"/>
      <c r="C43" s="39"/>
      <c r="D43" s="40"/>
      <c r="E43" s="105">
        <f>25815.31+7991.1+14002.22</f>
        <v>47808.630000000005</v>
      </c>
      <c r="F43" s="3"/>
      <c r="G43" s="3"/>
    </row>
    <row r="44" spans="1:7" ht="15.75" hidden="1" x14ac:dyDescent="0.25">
      <c r="A44" s="35" t="s">
        <v>263</v>
      </c>
      <c r="B44" s="20"/>
      <c r="C44" s="39"/>
      <c r="D44" s="40"/>
      <c r="E44" s="105">
        <f>18631.71+10752.2</f>
        <v>29383.91</v>
      </c>
      <c r="F44" s="3"/>
      <c r="G44" s="3"/>
    </row>
    <row r="45" spans="1:7" ht="15.75" x14ac:dyDescent="0.25">
      <c r="A45" s="41" t="s">
        <v>264</v>
      </c>
      <c r="B45" s="20">
        <f>8000*1.12</f>
        <v>8960</v>
      </c>
      <c r="C45" s="39"/>
      <c r="D45" s="40"/>
      <c r="E45" s="3"/>
      <c r="F45" s="3"/>
      <c r="G45" s="3"/>
    </row>
    <row r="46" spans="1:7" s="8" customFormat="1" ht="15.75" x14ac:dyDescent="0.25">
      <c r="A46" s="31" t="s">
        <v>265</v>
      </c>
      <c r="B46" s="32">
        <f>SUM(B47:B52)</f>
        <v>10684.310000000001</v>
      </c>
      <c r="C46" s="21"/>
      <c r="D46" s="22"/>
    </row>
    <row r="47" spans="1:7" ht="15.75" x14ac:dyDescent="0.25">
      <c r="A47" s="35" t="s">
        <v>266</v>
      </c>
      <c r="B47" s="20">
        <v>1009.58</v>
      </c>
      <c r="C47" s="21"/>
      <c r="D47" s="22"/>
      <c r="E47" s="3" t="s">
        <v>267</v>
      </c>
      <c r="F47" s="3"/>
      <c r="G47" s="3"/>
    </row>
    <row r="48" spans="1:7" ht="15.75" x14ac:dyDescent="0.25">
      <c r="A48" s="35" t="s">
        <v>268</v>
      </c>
      <c r="B48" s="20">
        <v>2694.87</v>
      </c>
      <c r="C48" s="21"/>
      <c r="D48" s="22"/>
      <c r="E48" s="3" t="s">
        <v>269</v>
      </c>
      <c r="F48" s="3"/>
      <c r="G48" s="3"/>
    </row>
    <row r="49" spans="1:5" ht="15.75" x14ac:dyDescent="0.25">
      <c r="A49" s="42" t="s">
        <v>282</v>
      </c>
      <c r="B49" s="20">
        <v>493.26</v>
      </c>
      <c r="C49" s="21"/>
      <c r="D49" s="44"/>
      <c r="E49" s="3"/>
    </row>
    <row r="50" spans="1:5" ht="15.75" x14ac:dyDescent="0.25">
      <c r="A50" s="35" t="s">
        <v>327</v>
      </c>
      <c r="B50" s="45">
        <v>6486.6</v>
      </c>
      <c r="C50" s="46">
        <v>1</v>
      </c>
      <c r="D50" s="22">
        <v>0</v>
      </c>
      <c r="E50" s="3"/>
    </row>
    <row r="51" spans="1:5" ht="15.75" hidden="1" x14ac:dyDescent="0.25">
      <c r="A51" s="35" t="s">
        <v>284</v>
      </c>
      <c r="B51" s="47"/>
      <c r="C51" s="46">
        <v>20</v>
      </c>
      <c r="D51" s="22">
        <v>2</v>
      </c>
      <c r="E51" s="3">
        <v>0</v>
      </c>
    </row>
    <row r="52" spans="1:5" ht="15.75" hidden="1" x14ac:dyDescent="0.25">
      <c r="A52" s="35" t="s">
        <v>285</v>
      </c>
      <c r="B52" s="47">
        <v>0</v>
      </c>
      <c r="C52" s="48"/>
      <c r="D52" s="40">
        <v>0</v>
      </c>
      <c r="E52" s="3"/>
    </row>
    <row r="53" spans="1:5" s="8" customFormat="1" ht="15.75" x14ac:dyDescent="0.25">
      <c r="A53" s="49" t="s">
        <v>286</v>
      </c>
      <c r="B53" s="32">
        <f>SUM(B54:B61)</f>
        <v>122865.12480000001</v>
      </c>
      <c r="C53" s="39"/>
      <c r="D53" s="40"/>
    </row>
    <row r="54" spans="1:5" ht="15.75" hidden="1" x14ac:dyDescent="0.25">
      <c r="A54" s="35" t="s">
        <v>287</v>
      </c>
      <c r="B54" s="23">
        <v>0</v>
      </c>
      <c r="C54" s="39"/>
      <c r="D54" s="40"/>
      <c r="E54" s="3"/>
    </row>
    <row r="55" spans="1:5" ht="15.75" x14ac:dyDescent="0.25">
      <c r="A55" s="35" t="s">
        <v>288</v>
      </c>
      <c r="B55" s="20">
        <f>53326*1.04*1.12</f>
        <v>62114.124800000005</v>
      </c>
      <c r="C55" s="39"/>
      <c r="D55" s="40"/>
      <c r="E55" s="3"/>
    </row>
    <row r="56" spans="1:5" ht="15.75" hidden="1" x14ac:dyDescent="0.25">
      <c r="A56" s="35" t="s">
        <v>289</v>
      </c>
      <c r="B56" s="23">
        <v>0</v>
      </c>
      <c r="C56" s="39"/>
      <c r="D56" s="40"/>
      <c r="E56" s="3"/>
    </row>
    <row r="57" spans="1:5" ht="15.75" x14ac:dyDescent="0.25">
      <c r="A57" s="41" t="s">
        <v>290</v>
      </c>
      <c r="B57" s="20">
        <v>2006</v>
      </c>
      <c r="C57" s="39"/>
      <c r="D57" s="40"/>
      <c r="E57" s="3"/>
    </row>
    <row r="58" spans="1:5" ht="15.75" x14ac:dyDescent="0.25">
      <c r="A58" s="41" t="s">
        <v>291</v>
      </c>
      <c r="B58" s="20">
        <v>10542</v>
      </c>
      <c r="C58" s="39"/>
      <c r="D58" s="40"/>
      <c r="E58" s="3"/>
    </row>
    <row r="59" spans="1:5" ht="15.75" x14ac:dyDescent="0.25">
      <c r="A59" s="41" t="s">
        <v>292</v>
      </c>
      <c r="B59" s="20">
        <v>18453</v>
      </c>
      <c r="C59" s="39"/>
      <c r="D59" s="40"/>
      <c r="E59" s="3"/>
    </row>
    <row r="60" spans="1:5" ht="15.75" x14ac:dyDescent="0.25">
      <c r="A60" s="41" t="s">
        <v>293</v>
      </c>
      <c r="B60" s="20">
        <v>3206</v>
      </c>
      <c r="C60" s="39"/>
      <c r="D60" s="40"/>
      <c r="E60" s="3"/>
    </row>
    <row r="61" spans="1:5" ht="15.75" x14ac:dyDescent="0.25">
      <c r="A61" s="41" t="s">
        <v>294</v>
      </c>
      <c r="B61" s="20">
        <v>26544</v>
      </c>
      <c r="C61" s="39"/>
      <c r="D61" s="40"/>
      <c r="E61" s="3"/>
    </row>
    <row r="62" spans="1:5" ht="63" x14ac:dyDescent="0.25">
      <c r="A62" s="50" t="s">
        <v>295</v>
      </c>
      <c r="B62" s="32">
        <f>SUM(B63:B63)</f>
        <v>87360.000000000015</v>
      </c>
      <c r="C62" s="39"/>
      <c r="D62" s="40"/>
      <c r="E62" s="3"/>
    </row>
    <row r="63" spans="1:5" ht="15.75" x14ac:dyDescent="0.25">
      <c r="A63" s="41" t="s">
        <v>296</v>
      </c>
      <c r="B63" s="20">
        <f>78000*1.12</f>
        <v>87360.000000000015</v>
      </c>
      <c r="C63" s="39"/>
      <c r="D63" s="40"/>
      <c r="E63" s="3"/>
    </row>
    <row r="64" spans="1:5" s="8" customFormat="1" ht="15.75" x14ac:dyDescent="0.25">
      <c r="A64" s="49" t="s">
        <v>297</v>
      </c>
      <c r="B64" s="32">
        <f>SUM(B65:B68)</f>
        <v>47564.520000000004</v>
      </c>
      <c r="C64" s="39"/>
      <c r="D64" s="40"/>
    </row>
    <row r="65" spans="1:4" ht="15.75" x14ac:dyDescent="0.25">
      <c r="A65" s="51" t="s">
        <v>298</v>
      </c>
      <c r="B65" s="20">
        <v>37211</v>
      </c>
      <c r="C65" s="39"/>
      <c r="D65" s="40"/>
    </row>
    <row r="66" spans="1:4" ht="15.75" hidden="1" x14ac:dyDescent="0.25">
      <c r="A66" s="51" t="s">
        <v>299</v>
      </c>
      <c r="B66" s="20">
        <f>(B26/1.2)*30%</f>
        <v>0</v>
      </c>
      <c r="C66" s="39"/>
      <c r="D66" s="40"/>
    </row>
    <row r="67" spans="1:4" ht="15.75" x14ac:dyDescent="0.25">
      <c r="A67" s="52" t="s">
        <v>300</v>
      </c>
      <c r="B67" s="20">
        <f>3366.52+3002</f>
        <v>6368.52</v>
      </c>
      <c r="C67" s="39"/>
      <c r="D67" s="40"/>
    </row>
    <row r="68" spans="1:4" ht="15.75" x14ac:dyDescent="0.25">
      <c r="A68" s="52" t="s">
        <v>301</v>
      </c>
      <c r="B68" s="20">
        <v>3985</v>
      </c>
      <c r="C68" s="39"/>
      <c r="D68" s="40"/>
    </row>
    <row r="69" spans="1:4" ht="15.75" x14ac:dyDescent="0.25">
      <c r="A69" s="53" t="s">
        <v>302</v>
      </c>
      <c r="B69" s="25">
        <f>B32+B42+B46+B53+B62+B64</f>
        <v>376053.92480000004</v>
      </c>
      <c r="C69" s="39"/>
      <c r="D69" s="40"/>
    </row>
    <row r="70" spans="1:4" ht="15.75" x14ac:dyDescent="0.25">
      <c r="A70" s="54" t="s">
        <v>303</v>
      </c>
      <c r="B70" s="20">
        <f>B69*0.03</f>
        <v>11281.617744000001</v>
      </c>
      <c r="C70" s="39"/>
      <c r="D70" s="40"/>
    </row>
    <row r="71" spans="1:4" s="34" customFormat="1" ht="15.75" x14ac:dyDescent="0.25">
      <c r="A71" s="55" t="s">
        <v>304</v>
      </c>
      <c r="B71" s="32">
        <f>B69+B70</f>
        <v>387335.54254400003</v>
      </c>
      <c r="C71" s="39"/>
      <c r="D71" s="40"/>
    </row>
    <row r="72" spans="1:4" ht="16.5" thickBot="1" x14ac:dyDescent="0.3">
      <c r="A72" s="56" t="s">
        <v>305</v>
      </c>
      <c r="B72" s="57">
        <f>B71*0.2</f>
        <v>77467.108508800011</v>
      </c>
      <c r="C72" s="39"/>
      <c r="D72" s="40"/>
    </row>
    <row r="73" spans="1:4" s="8" customFormat="1" ht="16.5" thickBot="1" x14ac:dyDescent="0.3">
      <c r="A73" s="58" t="s">
        <v>306</v>
      </c>
      <c r="B73" s="59">
        <f>B71+B72</f>
        <v>464802.65105280001</v>
      </c>
      <c r="C73" s="60"/>
      <c r="D73" s="61"/>
    </row>
    <row r="74" spans="1:4" s="8" customFormat="1" ht="16.5" thickBot="1" x14ac:dyDescent="0.3">
      <c r="A74" s="62" t="s">
        <v>307</v>
      </c>
      <c r="B74" s="59">
        <f>B10+B24+B26+B28+B29-B73</f>
        <v>893.55894720001379</v>
      </c>
      <c r="C74" s="63"/>
      <c r="D74" s="63"/>
    </row>
    <row r="75" spans="1:4" s="8" customFormat="1" ht="16.5" thickBot="1" x14ac:dyDescent="0.3">
      <c r="A75" s="64" t="s">
        <v>308</v>
      </c>
      <c r="B75" s="59">
        <f>B10+B25+B27++B28+B29-B73</f>
        <v>4319.0089472000254</v>
      </c>
      <c r="C75" s="63"/>
      <c r="D75" s="63"/>
    </row>
    <row r="76" spans="1:4" s="8" customFormat="1" ht="16.5" hidden="1" thickBot="1" x14ac:dyDescent="0.3">
      <c r="A76" s="65" t="s">
        <v>309</v>
      </c>
      <c r="B76" s="66">
        <f>B11+B24-B25</f>
        <v>-3425.4500000000116</v>
      </c>
      <c r="C76" s="63"/>
      <c r="D76" s="63"/>
    </row>
    <row r="77" spans="1:4" s="8" customFormat="1" ht="15.75" x14ac:dyDescent="0.25">
      <c r="A77" s="67"/>
      <c r="B77" s="68"/>
      <c r="C77" s="63"/>
      <c r="D77" s="63"/>
    </row>
    <row r="78" spans="1:4" ht="15.75" x14ac:dyDescent="0.25">
      <c r="A78" s="69"/>
      <c r="B78" s="70"/>
      <c r="C78" s="3"/>
      <c r="D78" s="3"/>
    </row>
    <row r="79" spans="1:4" ht="15.75" x14ac:dyDescent="0.25">
      <c r="A79" s="309" t="s">
        <v>310</v>
      </c>
      <c r="B79" s="310"/>
      <c r="C79" s="3"/>
      <c r="D79" s="3"/>
    </row>
    <row r="80" spans="1:4" ht="15.75" x14ac:dyDescent="0.25">
      <c r="A80" s="69"/>
      <c r="B80" s="71"/>
      <c r="C80" s="3"/>
      <c r="D80" s="3"/>
    </row>
    <row r="81" spans="1:3" ht="15.75" x14ac:dyDescent="0.25">
      <c r="A81" s="311"/>
      <c r="B81" s="312"/>
      <c r="C81" s="72"/>
    </row>
    <row r="87" spans="1:3" x14ac:dyDescent="0.2">
      <c r="B87" s="298"/>
    </row>
    <row r="89" spans="1:3" ht="15.75" hidden="1" x14ac:dyDescent="0.25">
      <c r="A89" s="3"/>
      <c r="B89" s="70"/>
      <c r="C89" s="3"/>
    </row>
    <row r="90" spans="1:3" ht="15.75" x14ac:dyDescent="0.25">
      <c r="A90" s="3"/>
      <c r="B90" s="70"/>
      <c r="C90" s="3"/>
    </row>
  </sheetData>
  <autoFilter ref="A32:B76" xr:uid="{00000000-0009-0000-0000-00003E000000}">
    <filterColumn colId="1">
      <filters>
        <filter val="1 717,02"/>
        <filter val="10 058,34"/>
        <filter val="104 146,48"/>
        <filter val="11 439,12"/>
        <filter val="13 470,63"/>
        <filter val="15 225,45"/>
        <filter val="16 692,74"/>
        <filter val="2 069,13"/>
        <filter val="2 549,11"/>
        <filter val="2 744,35"/>
        <filter val="2 837,85"/>
        <filter val="21 244,14"/>
        <filter val="21 852,08"/>
        <filter val="23 202,23"/>
        <filter val="3 937,84"/>
        <filter val="34 631,96"/>
        <filter val="381 303,86"/>
        <filter val="385,48"/>
        <filter val="39 376,48"/>
        <filter val="392 742,98"/>
        <filter val="471 291,57"/>
        <filter val="48 558,57"/>
        <filter val="5 500,05"/>
        <filter val="52 361,11"/>
        <filter val="53 325,91"/>
        <filter val="59 968,39"/>
        <filter val="6 248,72"/>
        <filter val="6 811,49"/>
        <filter val="6 823,38"/>
        <filter val="7 607,28"/>
        <filter val="71 322,19"/>
        <filter val="72 226,73"/>
        <filter val="78 548,60"/>
        <filter val="875,60"/>
        <filter val="9 292,99"/>
        <filter val="9 503,00"/>
      </filters>
    </filterColumn>
  </autoFilter>
  <mergeCells count="9">
    <mergeCell ref="D8:D9"/>
    <mergeCell ref="A79:B79"/>
    <mergeCell ref="A81:B81"/>
    <mergeCell ref="A1:B1"/>
    <mergeCell ref="A2:B2"/>
    <mergeCell ref="A3:B3"/>
    <mergeCell ref="A8:A9"/>
    <mergeCell ref="B8:B9"/>
    <mergeCell ref="C8:C9"/>
  </mergeCells>
  <phoneticPr fontId="43" type="noConversion"/>
  <pageMargins left="0.9055118110236221" right="0.9055118110236221" top="0.74803149606299213" bottom="0.74803149606299213" header="0.31496062992125984" footer="0.31496062992125984"/>
  <pageSetup paperSize="9" scale="77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filterMode="1">
    <pageSetUpPr fitToPage="1"/>
  </sheetPr>
  <dimension ref="A1:G94"/>
  <sheetViews>
    <sheetView view="pageBreakPreview" topLeftCell="A42" zoomScale="80" zoomScaleNormal="100" zoomScaleSheetLayoutView="80" workbookViewId="0">
      <selection activeCell="B81" sqref="B81"/>
    </sheetView>
  </sheetViews>
  <sheetFormatPr defaultRowHeight="15.75" x14ac:dyDescent="0.25"/>
  <cols>
    <col min="1" max="1" width="91.5703125" style="3" customWidth="1"/>
    <col min="2" max="2" width="15" style="70" customWidth="1"/>
    <col min="3" max="4" width="13.85546875" style="3" customWidth="1"/>
    <col min="5" max="5" width="14.140625" style="3" customWidth="1"/>
    <col min="6" max="6" width="11.140625" style="3" customWidth="1"/>
    <col min="7" max="7" width="12.42578125" style="3" bestFit="1" customWidth="1"/>
    <col min="8" max="16384" width="9.140625" style="3"/>
  </cols>
  <sheetData>
    <row r="1" spans="1:4" ht="16.5" customHeight="1" x14ac:dyDescent="0.25">
      <c r="A1" s="314" t="s">
        <v>224</v>
      </c>
      <c r="B1" s="314"/>
    </row>
    <row r="2" spans="1:4" ht="16.5" x14ac:dyDescent="0.25">
      <c r="A2" s="316" t="s">
        <v>225</v>
      </c>
      <c r="B2" s="316"/>
    </row>
    <row r="3" spans="1:4" ht="16.5" x14ac:dyDescent="0.25">
      <c r="A3" s="316" t="s">
        <v>226</v>
      </c>
      <c r="B3" s="316"/>
    </row>
    <row r="4" spans="1:4" x14ac:dyDescent="0.25">
      <c r="A4" s="5" t="s">
        <v>516</v>
      </c>
      <c r="B4" s="5"/>
    </row>
    <row r="5" spans="1:4" x14ac:dyDescent="0.25">
      <c r="A5" s="5" t="s">
        <v>131</v>
      </c>
      <c r="B5" s="6"/>
    </row>
    <row r="6" spans="1:4" ht="5.25" customHeight="1" x14ac:dyDescent="0.25">
      <c r="A6" s="5"/>
      <c r="B6" s="7"/>
      <c r="C6" s="8"/>
    </row>
    <row r="7" spans="1:4" ht="16.5" thickBot="1" x14ac:dyDescent="0.3">
      <c r="A7" s="207"/>
      <c r="B7" s="7"/>
      <c r="C7" s="8"/>
    </row>
    <row r="8" spans="1:4" ht="15.75" customHeight="1" x14ac:dyDescent="0.25">
      <c r="A8" s="347" t="s">
        <v>227</v>
      </c>
      <c r="B8" s="319" t="s">
        <v>228</v>
      </c>
      <c r="C8" s="307" t="s">
        <v>229</v>
      </c>
      <c r="D8" s="307" t="s">
        <v>230</v>
      </c>
    </row>
    <row r="9" spans="1:4" ht="28.5" customHeight="1" thickBot="1" x14ac:dyDescent="0.3">
      <c r="A9" s="348"/>
      <c r="B9" s="320"/>
      <c r="C9" s="308"/>
      <c r="D9" s="308"/>
    </row>
    <row r="10" spans="1:4" ht="16.5" thickBot="1" x14ac:dyDescent="0.3">
      <c r="A10" s="179" t="s">
        <v>231</v>
      </c>
      <c r="B10" s="301">
        <f>VLOOKUP(A5,мкд!S:T,2,FALSE)</f>
        <v>299140.09999999998</v>
      </c>
      <c r="C10" s="12"/>
      <c r="D10" s="12"/>
    </row>
    <row r="11" spans="1:4" ht="16.5" thickBot="1" x14ac:dyDescent="0.3">
      <c r="A11" s="180" t="s">
        <v>232</v>
      </c>
      <c r="B11" s="11"/>
      <c r="C11" s="14"/>
      <c r="D11" s="14"/>
    </row>
    <row r="12" spans="1:4" x14ac:dyDescent="0.25">
      <c r="A12" s="181" t="s">
        <v>233</v>
      </c>
      <c r="B12" s="16"/>
      <c r="C12" s="17" t="s">
        <v>234</v>
      </c>
      <c r="D12" s="18" t="s">
        <v>234</v>
      </c>
    </row>
    <row r="13" spans="1:4" hidden="1" x14ac:dyDescent="0.25">
      <c r="A13" s="182" t="s">
        <v>235</v>
      </c>
      <c r="B13" s="20">
        <v>4106.6000000000004</v>
      </c>
      <c r="C13" s="21" t="s">
        <v>234</v>
      </c>
      <c r="D13" s="22" t="s">
        <v>234</v>
      </c>
    </row>
    <row r="14" spans="1:4" hidden="1" x14ac:dyDescent="0.25">
      <c r="A14" s="19" t="s">
        <v>236</v>
      </c>
      <c r="B14" s="23">
        <v>0</v>
      </c>
      <c r="C14" s="21"/>
      <c r="D14" s="22"/>
    </row>
    <row r="15" spans="1:4" x14ac:dyDescent="0.25">
      <c r="A15" s="182" t="s">
        <v>237</v>
      </c>
      <c r="B15" s="20">
        <f>B13+B14</f>
        <v>4106.6000000000004</v>
      </c>
      <c r="C15" s="21"/>
      <c r="D15" s="22"/>
    </row>
    <row r="16" spans="1:4" x14ac:dyDescent="0.25">
      <c r="A16" s="182" t="s">
        <v>238</v>
      </c>
      <c r="B16" s="20">
        <f>3155.25+2109.62/3</f>
        <v>3858.4566666666665</v>
      </c>
      <c r="C16" s="21" t="s">
        <v>234</v>
      </c>
      <c r="D16" s="22" t="s">
        <v>234</v>
      </c>
    </row>
    <row r="17" spans="1:7" hidden="1" x14ac:dyDescent="0.25">
      <c r="A17" s="19" t="s">
        <v>239</v>
      </c>
      <c r="B17" s="23">
        <v>0</v>
      </c>
      <c r="C17" s="21" t="s">
        <v>234</v>
      </c>
      <c r="D17" s="22" t="s">
        <v>234</v>
      </c>
    </row>
    <row r="18" spans="1:7" hidden="1" x14ac:dyDescent="0.25">
      <c r="A18" s="182" t="s">
        <v>240</v>
      </c>
      <c r="B18" s="20">
        <v>400.5</v>
      </c>
      <c r="C18" s="21" t="s">
        <v>234</v>
      </c>
      <c r="D18" s="22" t="s">
        <v>234</v>
      </c>
    </row>
    <row r="19" spans="1:7" hidden="1" x14ac:dyDescent="0.25">
      <c r="A19" s="182" t="s">
        <v>241</v>
      </c>
      <c r="B19" s="20">
        <v>525</v>
      </c>
      <c r="C19" s="21" t="s">
        <v>234</v>
      </c>
      <c r="D19" s="22" t="s">
        <v>234</v>
      </c>
    </row>
    <row r="20" spans="1:7" hidden="1" x14ac:dyDescent="0.25">
      <c r="A20" s="182" t="s">
        <v>242</v>
      </c>
      <c r="B20" s="20">
        <v>570.1</v>
      </c>
      <c r="C20" s="21"/>
      <c r="D20" s="22"/>
    </row>
    <row r="21" spans="1:7" hidden="1" x14ac:dyDescent="0.25">
      <c r="A21" s="182" t="s">
        <v>243</v>
      </c>
      <c r="B21" s="20">
        <v>2</v>
      </c>
      <c r="C21" s="21" t="s">
        <v>234</v>
      </c>
      <c r="D21" s="22" t="s">
        <v>234</v>
      </c>
    </row>
    <row r="22" spans="1:7" hidden="1" x14ac:dyDescent="0.25">
      <c r="A22" s="182" t="s">
        <v>244</v>
      </c>
      <c r="B22" s="20">
        <v>188</v>
      </c>
      <c r="C22" s="21"/>
      <c r="D22" s="22"/>
    </row>
    <row r="23" spans="1:7" x14ac:dyDescent="0.25">
      <c r="A23" s="182"/>
      <c r="B23" s="20"/>
      <c r="C23" s="21"/>
      <c r="D23" s="22"/>
      <c r="E23" s="3">
        <v>12</v>
      </c>
    </row>
    <row r="24" spans="1:7" x14ac:dyDescent="0.25">
      <c r="A24" s="183" t="s">
        <v>245</v>
      </c>
      <c r="B24" s="25">
        <f>VLOOKUP(A5,[7]Лист1!M$1:N$65536,2,FALSE)</f>
        <v>1133366.3999999999</v>
      </c>
      <c r="C24" s="21"/>
      <c r="D24" s="22"/>
      <c r="E24" s="26">
        <v>23</v>
      </c>
    </row>
    <row r="25" spans="1:7" x14ac:dyDescent="0.25">
      <c r="A25" s="183" t="s">
        <v>246</v>
      </c>
      <c r="B25" s="25">
        <f>VLOOKUP(A5,[7]Лист1!M$1:O$65536,3,FALSE)</f>
        <v>1141893.7</v>
      </c>
      <c r="C25" s="21"/>
      <c r="D25" s="22"/>
    </row>
    <row r="26" spans="1:7" hidden="1" x14ac:dyDescent="0.25">
      <c r="A26" s="24" t="s">
        <v>247</v>
      </c>
      <c r="B26" s="25"/>
      <c r="C26" s="21"/>
      <c r="D26" s="22"/>
    </row>
    <row r="27" spans="1:7" hidden="1" x14ac:dyDescent="0.25">
      <c r="A27" s="24" t="s">
        <v>248</v>
      </c>
      <c r="B27" s="25"/>
      <c r="C27" s="21"/>
      <c r="D27" s="22"/>
    </row>
    <row r="28" spans="1:7" ht="30" customHeight="1" x14ac:dyDescent="0.25">
      <c r="A28" s="24" t="s">
        <v>249</v>
      </c>
      <c r="B28" s="25">
        <v>9289.92</v>
      </c>
      <c r="C28" s="21"/>
      <c r="D28" s="22"/>
    </row>
    <row r="29" spans="1:7" ht="21.75" hidden="1" customHeight="1" x14ac:dyDescent="0.25">
      <c r="A29" s="24" t="s">
        <v>250</v>
      </c>
      <c r="B29" s="28"/>
      <c r="C29" s="21"/>
      <c r="D29" s="22"/>
    </row>
    <row r="30" spans="1:7" x14ac:dyDescent="0.25">
      <c r="A30" s="184"/>
      <c r="B30" s="20"/>
      <c r="C30" s="21"/>
      <c r="D30" s="22"/>
    </row>
    <row r="31" spans="1:7" x14ac:dyDescent="0.25">
      <c r="A31" s="185" t="s">
        <v>251</v>
      </c>
      <c r="B31" s="20"/>
      <c r="C31" s="21"/>
      <c r="D31" s="22"/>
    </row>
    <row r="32" spans="1:7" s="34" customFormat="1" ht="31.5" x14ac:dyDescent="0.25">
      <c r="A32" s="186" t="s">
        <v>252</v>
      </c>
      <c r="B32" s="32">
        <f>SUM(B33:B41)</f>
        <v>133289.09</v>
      </c>
      <c r="C32" s="21"/>
      <c r="D32" s="22"/>
      <c r="E32" s="33">
        <f>(B24-B86)/1.2/1.03</f>
        <v>-48922.837203883755</v>
      </c>
      <c r="F32" s="33" t="e">
        <f>(#REF!-#REF!)/1.2/1.03</f>
        <v>#REF!</v>
      </c>
      <c r="G32" s="33" t="e">
        <f>(#REF!-#REF!)/1.2/1.03</f>
        <v>#REF!</v>
      </c>
    </row>
    <row r="33" spans="1:7" x14ac:dyDescent="0.25">
      <c r="A33" s="187" t="s">
        <v>253</v>
      </c>
      <c r="B33" s="20">
        <v>112409.64</v>
      </c>
      <c r="C33" s="21"/>
      <c r="D33" s="22">
        <v>33930.89</v>
      </c>
    </row>
    <row r="34" spans="1:7" x14ac:dyDescent="0.25">
      <c r="A34" s="206" t="s">
        <v>334</v>
      </c>
      <c r="B34" s="139">
        <v>5650.59</v>
      </c>
      <c r="C34" s="21"/>
      <c r="D34" s="22">
        <v>0</v>
      </c>
    </row>
    <row r="35" spans="1:7" x14ac:dyDescent="0.25">
      <c r="A35" s="206" t="s">
        <v>311</v>
      </c>
      <c r="B35" s="139">
        <v>10021.83</v>
      </c>
      <c r="C35" s="21"/>
      <c r="D35" s="22">
        <v>0</v>
      </c>
    </row>
    <row r="36" spans="1:7" x14ac:dyDescent="0.25">
      <c r="A36" s="206" t="s">
        <v>379</v>
      </c>
      <c r="B36" s="139">
        <v>3834.06</v>
      </c>
      <c r="C36" s="21" t="s">
        <v>234</v>
      </c>
      <c r="D36" s="22">
        <v>0</v>
      </c>
    </row>
    <row r="37" spans="1:7" x14ac:dyDescent="0.25">
      <c r="A37" s="205" t="s">
        <v>368</v>
      </c>
      <c r="B37" s="140">
        <v>1372.97</v>
      </c>
      <c r="C37" s="21"/>
      <c r="D37" s="22">
        <v>0</v>
      </c>
    </row>
    <row r="38" spans="1:7" hidden="1" x14ac:dyDescent="0.25">
      <c r="A38" s="35" t="s">
        <v>258</v>
      </c>
      <c r="B38" s="23">
        <v>0</v>
      </c>
      <c r="C38" s="21"/>
      <c r="D38" s="22">
        <v>0</v>
      </c>
    </row>
    <row r="39" spans="1:7" hidden="1" x14ac:dyDescent="0.25">
      <c r="A39" s="35" t="s">
        <v>259</v>
      </c>
      <c r="B39" s="23">
        <v>0</v>
      </c>
      <c r="C39" s="21"/>
      <c r="D39" s="22">
        <v>0</v>
      </c>
    </row>
    <row r="40" spans="1:7" hidden="1" x14ac:dyDescent="0.25">
      <c r="A40" s="35" t="s">
        <v>312</v>
      </c>
      <c r="B40" s="23">
        <v>0</v>
      </c>
      <c r="C40" s="21"/>
      <c r="D40" s="22"/>
    </row>
    <row r="41" spans="1:7" hidden="1" x14ac:dyDescent="0.25">
      <c r="A41" s="35" t="s">
        <v>313</v>
      </c>
      <c r="B41" s="23">
        <v>0</v>
      </c>
      <c r="C41" s="21"/>
      <c r="D41" s="22"/>
    </row>
    <row r="42" spans="1:7" s="34" customFormat="1" ht="47.25" x14ac:dyDescent="0.25">
      <c r="A42" s="186" t="s">
        <v>261</v>
      </c>
      <c r="B42" s="32">
        <f>SUM(B43:B45)</f>
        <v>24640.000000000004</v>
      </c>
      <c r="C42" s="21"/>
      <c r="D42" s="22"/>
      <c r="E42" s="33"/>
      <c r="F42" s="33"/>
      <c r="G42" s="33"/>
    </row>
    <row r="43" spans="1:7" hidden="1" x14ac:dyDescent="0.25">
      <c r="A43" s="35" t="s">
        <v>262</v>
      </c>
      <c r="B43" s="20"/>
      <c r="C43" s="39"/>
      <c r="D43" s="40"/>
    </row>
    <row r="44" spans="1:7" hidden="1" x14ac:dyDescent="0.25">
      <c r="A44" s="35" t="s">
        <v>263</v>
      </c>
      <c r="B44" s="20"/>
      <c r="C44" s="39"/>
      <c r="D44" s="40"/>
    </row>
    <row r="45" spans="1:7" x14ac:dyDescent="0.25">
      <c r="A45" s="163" t="s">
        <v>264</v>
      </c>
      <c r="B45" s="20">
        <f>22000*1.12</f>
        <v>24640.000000000004</v>
      </c>
      <c r="C45" s="39"/>
      <c r="D45" s="40"/>
    </row>
    <row r="46" spans="1:7" s="8" customFormat="1" x14ac:dyDescent="0.25">
      <c r="A46" s="186" t="s">
        <v>265</v>
      </c>
      <c r="B46" s="32">
        <f>SUM(B47:B65)</f>
        <v>224239.27999999997</v>
      </c>
      <c r="C46" s="21"/>
      <c r="D46" s="22"/>
    </row>
    <row r="47" spans="1:7" x14ac:dyDescent="0.25">
      <c r="A47" s="187" t="s">
        <v>266</v>
      </c>
      <c r="B47" s="20">
        <v>1682.04</v>
      </c>
      <c r="C47" s="21"/>
      <c r="D47" s="22"/>
      <c r="E47" s="3" t="s">
        <v>267</v>
      </c>
    </row>
    <row r="48" spans="1:7" x14ac:dyDescent="0.25">
      <c r="A48" s="187" t="s">
        <v>268</v>
      </c>
      <c r="B48" s="20">
        <v>2042.58</v>
      </c>
      <c r="C48" s="21"/>
      <c r="D48" s="22"/>
      <c r="E48" s="3" t="s">
        <v>269</v>
      </c>
    </row>
    <row r="49" spans="1:5" x14ac:dyDescent="0.25">
      <c r="A49" s="188" t="s">
        <v>270</v>
      </c>
      <c r="B49" s="43">
        <v>156441.60000000001</v>
      </c>
      <c r="C49" s="21">
        <v>2</v>
      </c>
      <c r="D49" s="22">
        <f>9064.27+6972.52</f>
        <v>16036.79</v>
      </c>
    </row>
    <row r="50" spans="1:5" x14ac:dyDescent="0.25">
      <c r="A50" s="188" t="s">
        <v>271</v>
      </c>
      <c r="B50" s="43">
        <v>9800</v>
      </c>
      <c r="C50" s="21">
        <v>2</v>
      </c>
      <c r="D50" s="22">
        <v>4190</v>
      </c>
    </row>
    <row r="51" spans="1:5" hidden="1" x14ac:dyDescent="0.25">
      <c r="A51" s="42" t="s">
        <v>272</v>
      </c>
      <c r="B51" s="22">
        <v>0</v>
      </c>
      <c r="C51" s="21">
        <v>2</v>
      </c>
      <c r="D51" s="22">
        <v>0</v>
      </c>
    </row>
    <row r="52" spans="1:5" hidden="1" x14ac:dyDescent="0.25">
      <c r="A52" s="42" t="s">
        <v>348</v>
      </c>
      <c r="B52" s="43"/>
      <c r="C52" s="21">
        <v>2</v>
      </c>
      <c r="D52" s="22">
        <v>105.14</v>
      </c>
    </row>
    <row r="53" spans="1:5" ht="15.75" customHeight="1" x14ac:dyDescent="0.25">
      <c r="A53" s="42" t="s">
        <v>542</v>
      </c>
      <c r="B53" s="20">
        <v>4200</v>
      </c>
      <c r="C53" s="21">
        <v>0</v>
      </c>
      <c r="D53" s="22">
        <v>522.99</v>
      </c>
    </row>
    <row r="54" spans="1:5" x14ac:dyDescent="0.25">
      <c r="A54" s="188" t="s">
        <v>275</v>
      </c>
      <c r="B54" s="20">
        <v>8133.61</v>
      </c>
      <c r="C54" s="21">
        <v>1</v>
      </c>
      <c r="D54" s="44">
        <v>700.55</v>
      </c>
    </row>
    <row r="55" spans="1:5" x14ac:dyDescent="0.25">
      <c r="A55" s="188" t="s">
        <v>348</v>
      </c>
      <c r="B55" s="20">
        <v>0</v>
      </c>
      <c r="C55" s="21"/>
      <c r="D55" s="44"/>
    </row>
    <row r="56" spans="1:5" x14ac:dyDescent="0.25">
      <c r="A56" s="187" t="s">
        <v>381</v>
      </c>
      <c r="B56" s="20">
        <v>0</v>
      </c>
      <c r="C56" s="21">
        <v>0</v>
      </c>
      <c r="D56" s="22">
        <f>10695.76/1.18</f>
        <v>9064.203389830509</v>
      </c>
    </row>
    <row r="57" spans="1:5" hidden="1" x14ac:dyDescent="0.25">
      <c r="A57" s="42" t="s">
        <v>314</v>
      </c>
      <c r="B57" s="23">
        <v>0</v>
      </c>
      <c r="C57" s="21">
        <v>0</v>
      </c>
      <c r="D57" s="22">
        <f>2300/1.18</f>
        <v>1949.1525423728815</v>
      </c>
    </row>
    <row r="58" spans="1:5" hidden="1" x14ac:dyDescent="0.25">
      <c r="A58" s="42" t="s">
        <v>316</v>
      </c>
      <c r="B58" s="20"/>
      <c r="C58" s="21">
        <v>70</v>
      </c>
      <c r="D58" s="22">
        <v>44.62</v>
      </c>
    </row>
    <row r="59" spans="1:5" x14ac:dyDescent="0.25">
      <c r="A59" s="188" t="s">
        <v>282</v>
      </c>
      <c r="B59" s="20">
        <f>840+21600+528.05</f>
        <v>22968.05</v>
      </c>
      <c r="C59" s="21"/>
      <c r="D59" s="22"/>
    </row>
    <row r="60" spans="1:5" hidden="1" x14ac:dyDescent="0.25">
      <c r="A60" s="35" t="s">
        <v>280</v>
      </c>
      <c r="B60" s="23">
        <v>0</v>
      </c>
      <c r="C60" s="21"/>
      <c r="D60" s="22"/>
    </row>
    <row r="61" spans="1:5" hidden="1" x14ac:dyDescent="0.25">
      <c r="A61" s="35" t="s">
        <v>281</v>
      </c>
      <c r="B61" s="23">
        <v>0</v>
      </c>
      <c r="C61" s="21"/>
      <c r="D61" s="22">
        <v>0</v>
      </c>
    </row>
    <row r="62" spans="1:5" hidden="1" x14ac:dyDescent="0.25">
      <c r="A62" s="35" t="s">
        <v>340</v>
      </c>
      <c r="B62" s="23">
        <v>0</v>
      </c>
      <c r="C62" s="21"/>
      <c r="D62" s="22">
        <v>0</v>
      </c>
    </row>
    <row r="63" spans="1:5" hidden="1" x14ac:dyDescent="0.25">
      <c r="A63" s="35" t="s">
        <v>327</v>
      </c>
      <c r="B63" s="47">
        <v>0</v>
      </c>
      <c r="C63" s="46">
        <v>1</v>
      </c>
      <c r="D63" s="22">
        <v>0</v>
      </c>
    </row>
    <row r="64" spans="1:5" hidden="1" x14ac:dyDescent="0.25">
      <c r="A64" s="35" t="s">
        <v>382</v>
      </c>
      <c r="B64" s="45"/>
      <c r="C64" s="46">
        <v>70</v>
      </c>
      <c r="D64" s="22">
        <v>2</v>
      </c>
      <c r="E64" s="3">
        <v>0</v>
      </c>
    </row>
    <row r="65" spans="1:4" x14ac:dyDescent="0.25">
      <c r="A65" s="187" t="s">
        <v>383</v>
      </c>
      <c r="B65" s="45">
        <v>18971.400000000001</v>
      </c>
      <c r="C65" s="48"/>
      <c r="D65" s="40">
        <v>0</v>
      </c>
    </row>
    <row r="66" spans="1:4" s="8" customFormat="1" x14ac:dyDescent="0.25">
      <c r="A66" s="189" t="s">
        <v>286</v>
      </c>
      <c r="B66" s="32">
        <f>SUM(B67:B74)</f>
        <v>320603.62400000007</v>
      </c>
      <c r="C66" s="39"/>
      <c r="D66" s="40"/>
    </row>
    <row r="67" spans="1:4" hidden="1" x14ac:dyDescent="0.25">
      <c r="A67" s="35" t="s">
        <v>287</v>
      </c>
      <c r="B67" s="23">
        <v>0</v>
      </c>
      <c r="C67" s="39"/>
      <c r="D67" s="40"/>
    </row>
    <row r="68" spans="1:4" x14ac:dyDescent="0.25">
      <c r="A68" s="187" t="s">
        <v>288</v>
      </c>
      <c r="B68" s="20">
        <f>149755*1.04*1.12</f>
        <v>174434.62400000004</v>
      </c>
      <c r="C68" s="39"/>
      <c r="D68" s="40"/>
    </row>
    <row r="69" spans="1:4" hidden="1" x14ac:dyDescent="0.25">
      <c r="A69" s="35" t="s">
        <v>289</v>
      </c>
      <c r="B69" s="23">
        <v>0</v>
      </c>
      <c r="C69" s="39"/>
      <c r="D69" s="40"/>
    </row>
    <row r="70" spans="1:4" x14ac:dyDescent="0.25">
      <c r="A70" s="163" t="s">
        <v>290</v>
      </c>
      <c r="B70" s="20">
        <v>5214</v>
      </c>
      <c r="C70" s="39"/>
      <c r="D70" s="40"/>
    </row>
    <row r="71" spans="1:4" x14ac:dyDescent="0.25">
      <c r="A71" s="163" t="s">
        <v>291</v>
      </c>
      <c r="B71" s="20">
        <v>24569</v>
      </c>
      <c r="C71" s="39"/>
      <c r="D71" s="40"/>
    </row>
    <row r="72" spans="1:4" x14ac:dyDescent="0.25">
      <c r="A72" s="163" t="s">
        <v>292</v>
      </c>
      <c r="B72" s="20">
        <v>44521</v>
      </c>
      <c r="C72" s="39"/>
      <c r="D72" s="40"/>
    </row>
    <row r="73" spans="1:4" x14ac:dyDescent="0.25">
      <c r="A73" s="163" t="s">
        <v>293</v>
      </c>
      <c r="B73" s="20">
        <v>8000</v>
      </c>
      <c r="C73" s="39"/>
      <c r="D73" s="40"/>
    </row>
    <row r="74" spans="1:4" x14ac:dyDescent="0.25">
      <c r="A74" s="163" t="s">
        <v>294</v>
      </c>
      <c r="B74" s="20">
        <v>63865</v>
      </c>
      <c r="C74" s="39"/>
      <c r="D74" s="40"/>
    </row>
    <row r="75" spans="1:4" ht="63" x14ac:dyDescent="0.25">
      <c r="A75" s="190" t="s">
        <v>295</v>
      </c>
      <c r="B75" s="32">
        <f>SUM(B76:B76)</f>
        <v>143360</v>
      </c>
      <c r="C75" s="39"/>
      <c r="D75" s="40"/>
    </row>
    <row r="76" spans="1:4" x14ac:dyDescent="0.25">
      <c r="A76" s="41" t="s">
        <v>296</v>
      </c>
      <c r="B76" s="20">
        <f>128000*1.12</f>
        <v>143360</v>
      </c>
      <c r="C76" s="39"/>
      <c r="D76" s="40"/>
    </row>
    <row r="77" spans="1:4" s="8" customFormat="1" x14ac:dyDescent="0.25">
      <c r="A77" s="49" t="s">
        <v>297</v>
      </c>
      <c r="B77" s="32">
        <f>SUM(B78:B81)</f>
        <v>119753.95000000001</v>
      </c>
      <c r="C77" s="39"/>
      <c r="D77" s="40"/>
    </row>
    <row r="78" spans="1:4" x14ac:dyDescent="0.25">
      <c r="A78" s="51" t="s">
        <v>298</v>
      </c>
      <c r="B78" s="20">
        <f>88000*1.12</f>
        <v>98560.000000000015</v>
      </c>
      <c r="C78" s="39"/>
      <c r="D78" s="40"/>
    </row>
    <row r="79" spans="1:4" x14ac:dyDescent="0.25">
      <c r="A79" s="51" t="s">
        <v>299</v>
      </c>
      <c r="B79" s="23">
        <f>(B26/1.2)*30%</f>
        <v>0</v>
      </c>
      <c r="C79" s="39"/>
      <c r="D79" s="40"/>
    </row>
    <row r="80" spans="1:4" x14ac:dyDescent="0.25">
      <c r="A80" s="52" t="s">
        <v>300</v>
      </c>
      <c r="B80" s="20">
        <f>6216+6017.95</f>
        <v>12233.95</v>
      </c>
      <c r="C80" s="39"/>
      <c r="D80" s="40"/>
    </row>
    <row r="81" spans="1:4" x14ac:dyDescent="0.25">
      <c r="A81" s="52" t="s">
        <v>301</v>
      </c>
      <c r="B81" s="20">
        <f>8000*1.12</f>
        <v>8960</v>
      </c>
      <c r="C81" s="39"/>
      <c r="D81" s="40"/>
    </row>
    <row r="82" spans="1:4" x14ac:dyDescent="0.25">
      <c r="A82" s="53" t="s">
        <v>302</v>
      </c>
      <c r="B82" s="25">
        <f>B32+B42+B46+B66+B75+B77</f>
        <v>965885.94400000013</v>
      </c>
      <c r="C82" s="39"/>
      <c r="D82" s="40"/>
    </row>
    <row r="83" spans="1:4" x14ac:dyDescent="0.25">
      <c r="A83" s="54" t="s">
        <v>303</v>
      </c>
      <c r="B83" s="20">
        <f>B82*0.03</f>
        <v>28976.578320000004</v>
      </c>
      <c r="C83" s="39"/>
      <c r="D83" s="40"/>
    </row>
    <row r="84" spans="1:4" s="34" customFormat="1" x14ac:dyDescent="0.25">
      <c r="A84" s="55" t="s">
        <v>304</v>
      </c>
      <c r="B84" s="32">
        <f>B82+B83</f>
        <v>994862.52232000011</v>
      </c>
      <c r="C84" s="39"/>
      <c r="D84" s="40"/>
    </row>
    <row r="85" spans="1:4" ht="16.5" thickBot="1" x14ac:dyDescent="0.3">
      <c r="A85" s="56" t="s">
        <v>305</v>
      </c>
      <c r="B85" s="57">
        <f>B84*0.2</f>
        <v>198972.50446400003</v>
      </c>
      <c r="C85" s="39"/>
      <c r="D85" s="40"/>
    </row>
    <row r="86" spans="1:4" s="8" customFormat="1" ht="16.5" thickBot="1" x14ac:dyDescent="0.3">
      <c r="A86" s="58" t="s">
        <v>306</v>
      </c>
      <c r="B86" s="59">
        <f>B84+B85</f>
        <v>1193835.0267840002</v>
      </c>
      <c r="C86" s="60"/>
      <c r="D86" s="61"/>
    </row>
    <row r="87" spans="1:4" s="8" customFormat="1" ht="16.5" thickBot="1" x14ac:dyDescent="0.3">
      <c r="A87" s="62" t="s">
        <v>307</v>
      </c>
      <c r="B87" s="296">
        <f>B10+B24+B26+B28+B29-B86</f>
        <v>247961.39321599971</v>
      </c>
      <c r="C87" s="63"/>
      <c r="D87" s="63"/>
    </row>
    <row r="88" spans="1:4" s="8" customFormat="1" ht="16.5" thickBot="1" x14ac:dyDescent="0.3">
      <c r="A88" s="64" t="s">
        <v>308</v>
      </c>
      <c r="B88" s="59">
        <f>B10+B25+B27++B28+B29-B86</f>
        <v>256488.69321599952</v>
      </c>
      <c r="C88" s="63"/>
      <c r="D88" s="63"/>
    </row>
    <row r="89" spans="1:4" s="8" customFormat="1" ht="16.5" hidden="1" thickBot="1" x14ac:dyDescent="0.3">
      <c r="A89" s="65" t="s">
        <v>309</v>
      </c>
      <c r="B89" s="66">
        <f>B11+B24-B25</f>
        <v>-8527.3000000000466</v>
      </c>
      <c r="C89" s="63"/>
      <c r="D89" s="63"/>
    </row>
    <row r="90" spans="1:4" s="8" customFormat="1" x14ac:dyDescent="0.25">
      <c r="A90" s="67"/>
      <c r="B90" s="68"/>
      <c r="C90" s="63"/>
      <c r="D90" s="63"/>
    </row>
    <row r="91" spans="1:4" x14ac:dyDescent="0.25">
      <c r="A91" s="69"/>
    </row>
    <row r="92" spans="1:4" x14ac:dyDescent="0.25">
      <c r="A92" s="309" t="s">
        <v>310</v>
      </c>
      <c r="B92" s="310"/>
    </row>
    <row r="93" spans="1:4" x14ac:dyDescent="0.25">
      <c r="A93" s="69"/>
      <c r="B93" s="71"/>
    </row>
    <row r="94" spans="1:4" x14ac:dyDescent="0.25">
      <c r="A94" s="311"/>
      <c r="B94" s="312"/>
      <c r="C94" s="72"/>
    </row>
  </sheetData>
  <autoFilter ref="A32:B89" xr:uid="{00000000-0009-0000-0000-00003F000000}">
    <filterColumn colId="1">
      <filters>
        <filter val="10 535,64"/>
        <filter val="11 915,13"/>
        <filter val="117 979,05"/>
        <filter val="128 002,48"/>
        <filter val="13 475,64"/>
        <filter val="140,19"/>
        <filter val="149 755,02"/>
        <filter val="162 331,40"/>
        <filter val="17 563,60"/>
        <filter val="185 026,44"/>
        <filter val="-203 539,53"/>
        <filter val="22 436,54"/>
        <filter val="23 640,49"/>
        <filter val="-230 940,96"/>
        <filter val="24 744,59"/>
        <filter val="27 401,43"/>
        <filter val="275 157,66"/>
        <filter val="3 086,49"/>
        <filter val="336,40"/>
        <filter val="4 593,85"/>
        <filter val="40 898,75"/>
        <filter val="41 104,70"/>
        <filter val="45 328,83"/>
        <filter val="471,69"/>
        <filter val="5 535,93"/>
        <filter val="53 539,62"/>
        <filter val="56 847,60"/>
        <filter val="59 096,26"/>
        <filter val="6 953,00"/>
        <filter val="7 290,64"/>
        <filter val="7 575,51"/>
        <filter val="70 498,81"/>
        <filter val="788 016,48"/>
        <filter val="8 115,27"/>
        <filter val="811 656,98"/>
        <filter val="9 790,32"/>
        <filter val="973 988,37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9055118110236221" right="0.9055118110236221" top="0.74803149606299213" bottom="0.74803149606299213" header="0.31496062992125984" footer="0.31496062992125984"/>
  <pageSetup paperSize="9" scale="65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filterMode="1">
    <pageSetUpPr fitToPage="1"/>
  </sheetPr>
  <dimension ref="A1:G92"/>
  <sheetViews>
    <sheetView view="pageBreakPreview" topLeftCell="A36" zoomScale="80" zoomScaleNormal="100" zoomScaleSheetLayoutView="80" workbookViewId="0">
      <selection activeCell="B69" sqref="B69"/>
    </sheetView>
  </sheetViews>
  <sheetFormatPr defaultRowHeight="12.75" x14ac:dyDescent="0.2"/>
  <cols>
    <col min="1" max="1" width="91.5703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13" t="s">
        <v>224</v>
      </c>
      <c r="B1" s="314"/>
      <c r="C1" s="3"/>
      <c r="D1" s="3"/>
    </row>
    <row r="2" spans="1:4" ht="16.5" x14ac:dyDescent="0.25">
      <c r="A2" s="315" t="s">
        <v>225</v>
      </c>
      <c r="B2" s="316"/>
      <c r="C2" s="3"/>
      <c r="D2" s="3"/>
    </row>
    <row r="3" spans="1:4" ht="16.5" x14ac:dyDescent="0.25">
      <c r="A3" s="315" t="s">
        <v>226</v>
      </c>
      <c r="B3" s="316"/>
      <c r="C3" s="3"/>
      <c r="D3" s="3"/>
    </row>
    <row r="4" spans="1:4" ht="15.75" x14ac:dyDescent="0.25">
      <c r="A4" s="4" t="s">
        <v>516</v>
      </c>
      <c r="B4" s="5"/>
      <c r="C4" s="3"/>
      <c r="D4" s="3"/>
    </row>
    <row r="5" spans="1:4" ht="15.75" x14ac:dyDescent="0.25">
      <c r="A5" s="4" t="s">
        <v>133</v>
      </c>
      <c r="B5" s="6"/>
      <c r="C5" s="3"/>
      <c r="D5" s="3"/>
    </row>
    <row r="6" spans="1:4" ht="5.25" customHeight="1" x14ac:dyDescent="0.25">
      <c r="A6" s="4"/>
      <c r="B6" s="7"/>
      <c r="C6" s="8"/>
      <c r="D6" s="3"/>
    </row>
    <row r="7" spans="1:4" ht="16.5" thickBot="1" x14ac:dyDescent="0.3">
      <c r="A7" s="9"/>
      <c r="B7" s="7"/>
      <c r="C7" s="8"/>
      <c r="D7" s="3"/>
    </row>
    <row r="8" spans="1:4" ht="15.75" customHeight="1" x14ac:dyDescent="0.2">
      <c r="A8" s="317" t="s">
        <v>227</v>
      </c>
      <c r="B8" s="319" t="s">
        <v>228</v>
      </c>
      <c r="C8" s="307" t="s">
        <v>229</v>
      </c>
      <c r="D8" s="307" t="s">
        <v>230</v>
      </c>
    </row>
    <row r="9" spans="1:4" ht="28.5" customHeight="1" thickBot="1" x14ac:dyDescent="0.25">
      <c r="A9" s="318"/>
      <c r="B9" s="320"/>
      <c r="C9" s="308"/>
      <c r="D9" s="308"/>
    </row>
    <row r="10" spans="1:4" ht="16.5" thickBot="1" x14ac:dyDescent="0.25">
      <c r="A10" s="179" t="s">
        <v>231</v>
      </c>
      <c r="B10" s="301">
        <f>VLOOKUP(A5,мкд!S:T,2,FALSE)</f>
        <v>-1392017.83</v>
      </c>
      <c r="C10" s="12"/>
      <c r="D10" s="12"/>
    </row>
    <row r="11" spans="1:4" ht="16.5" thickBot="1" x14ac:dyDescent="0.25">
      <c r="A11" s="180" t="s">
        <v>232</v>
      </c>
      <c r="B11" s="11"/>
      <c r="C11" s="14"/>
      <c r="D11" s="14"/>
    </row>
    <row r="12" spans="1:4" ht="15.75" x14ac:dyDescent="0.25">
      <c r="A12" s="181" t="s">
        <v>233</v>
      </c>
      <c r="B12" s="16"/>
      <c r="C12" s="17" t="s">
        <v>234</v>
      </c>
      <c r="D12" s="18" t="s">
        <v>234</v>
      </c>
    </row>
    <row r="13" spans="1:4" ht="15.75" hidden="1" x14ac:dyDescent="0.25">
      <c r="A13" s="182" t="s">
        <v>235</v>
      </c>
      <c r="B13" s="20">
        <v>3349.4</v>
      </c>
      <c r="C13" s="21" t="s">
        <v>234</v>
      </c>
      <c r="D13" s="22" t="s">
        <v>234</v>
      </c>
    </row>
    <row r="14" spans="1:4" ht="15.75" hidden="1" x14ac:dyDescent="0.25">
      <c r="A14" s="19" t="s">
        <v>236</v>
      </c>
      <c r="B14" s="23">
        <v>0</v>
      </c>
      <c r="C14" s="21"/>
      <c r="D14" s="22"/>
    </row>
    <row r="15" spans="1:4" ht="15.75" x14ac:dyDescent="0.25">
      <c r="A15" s="182" t="s">
        <v>237</v>
      </c>
      <c r="B15" s="20">
        <f>B13+B14</f>
        <v>3349.4</v>
      </c>
      <c r="C15" s="21"/>
      <c r="D15" s="22"/>
    </row>
    <row r="16" spans="1:4" ht="15.75" x14ac:dyDescent="0.25">
      <c r="A16" s="182" t="s">
        <v>238</v>
      </c>
      <c r="B16" s="20">
        <f>1317.8+2287/3</f>
        <v>2080.1333333333332</v>
      </c>
      <c r="C16" s="21" t="s">
        <v>234</v>
      </c>
      <c r="D16" s="22" t="s">
        <v>234</v>
      </c>
    </row>
    <row r="17" spans="1:7" ht="15.75" hidden="1" x14ac:dyDescent="0.25">
      <c r="A17" s="182" t="s">
        <v>239</v>
      </c>
      <c r="B17" s="20">
        <f>262.3+8.8</f>
        <v>271.10000000000002</v>
      </c>
      <c r="C17" s="21" t="s">
        <v>234</v>
      </c>
      <c r="D17" s="22" t="s">
        <v>234</v>
      </c>
      <c r="E17" s="3"/>
      <c r="F17" s="3"/>
      <c r="G17" s="3"/>
    </row>
    <row r="18" spans="1:7" ht="15.75" hidden="1" x14ac:dyDescent="0.25">
      <c r="A18" s="182" t="s">
        <v>240</v>
      </c>
      <c r="B18" s="20">
        <v>624.20000000000005</v>
      </c>
      <c r="C18" s="21" t="s">
        <v>234</v>
      </c>
      <c r="D18" s="22" t="s">
        <v>234</v>
      </c>
      <c r="E18" s="3"/>
      <c r="F18" s="3"/>
      <c r="G18" s="3"/>
    </row>
    <row r="19" spans="1:7" ht="15.75" hidden="1" x14ac:dyDescent="0.25">
      <c r="A19" s="19" t="s">
        <v>241</v>
      </c>
      <c r="B19" s="23">
        <v>0</v>
      </c>
      <c r="C19" s="21" t="s">
        <v>234</v>
      </c>
      <c r="D19" s="22" t="s">
        <v>234</v>
      </c>
      <c r="E19" s="3"/>
      <c r="F19" s="3"/>
      <c r="G19" s="3"/>
    </row>
    <row r="20" spans="1:7" ht="15.75" hidden="1" x14ac:dyDescent="0.25">
      <c r="A20" s="182" t="s">
        <v>242</v>
      </c>
      <c r="B20" s="20">
        <v>1031</v>
      </c>
      <c r="C20" s="21"/>
      <c r="D20" s="22"/>
      <c r="E20" s="3"/>
      <c r="F20" s="3"/>
      <c r="G20" s="3"/>
    </row>
    <row r="21" spans="1:7" ht="15.75" hidden="1" x14ac:dyDescent="0.25">
      <c r="A21" s="19" t="s">
        <v>243</v>
      </c>
      <c r="B21" s="23">
        <v>0</v>
      </c>
      <c r="C21" s="21" t="s">
        <v>234</v>
      </c>
      <c r="D21" s="22" t="s">
        <v>234</v>
      </c>
      <c r="E21" s="3"/>
      <c r="F21" s="3"/>
      <c r="G21" s="3"/>
    </row>
    <row r="22" spans="1:7" ht="15.75" hidden="1" x14ac:dyDescent="0.25">
      <c r="A22" s="182" t="s">
        <v>244</v>
      </c>
      <c r="B22" s="20">
        <v>194</v>
      </c>
      <c r="C22" s="21"/>
      <c r="D22" s="22"/>
      <c r="E22" s="3"/>
      <c r="F22" s="3"/>
      <c r="G22" s="3"/>
    </row>
    <row r="23" spans="1:7" ht="15.75" x14ac:dyDescent="0.25">
      <c r="A23" s="182"/>
      <c r="B23" s="20"/>
      <c r="C23" s="21"/>
      <c r="D23" s="22"/>
      <c r="E23" s="3">
        <v>10</v>
      </c>
      <c r="F23" s="3">
        <v>2</v>
      </c>
      <c r="G23" s="3"/>
    </row>
    <row r="24" spans="1:7" ht="15.75" x14ac:dyDescent="0.25">
      <c r="A24" s="183" t="s">
        <v>245</v>
      </c>
      <c r="B24" s="25">
        <f>VLOOKUP(A5,[7]Лист1!M$1:N$65536,2,FALSE)</f>
        <v>738525.77</v>
      </c>
      <c r="C24" s="21"/>
      <c r="D24" s="22"/>
      <c r="E24" s="26">
        <v>18.010000000000002</v>
      </c>
      <c r="F24" s="27">
        <v>20.160394</v>
      </c>
      <c r="G24" s="3"/>
    </row>
    <row r="25" spans="1:7" ht="15.75" x14ac:dyDescent="0.25">
      <c r="A25" s="183" t="s">
        <v>246</v>
      </c>
      <c r="B25" s="25">
        <f>VLOOKUP(A5,[7]Лист1!M$1:O$65536,3,FALSE)</f>
        <v>714407.35000000009</v>
      </c>
      <c r="C25" s="21"/>
      <c r="D25" s="22"/>
      <c r="E25" s="3"/>
      <c r="F25" s="3"/>
      <c r="G25" s="3"/>
    </row>
    <row r="26" spans="1:7" ht="15.75" hidden="1" x14ac:dyDescent="0.25">
      <c r="A26" s="24" t="s">
        <v>247</v>
      </c>
      <c r="B26" s="25"/>
      <c r="C26" s="21"/>
      <c r="D26" s="22"/>
      <c r="E26" s="3"/>
      <c r="F26" s="3"/>
      <c r="G26" s="3"/>
    </row>
    <row r="27" spans="1:7" ht="15.75" hidden="1" x14ac:dyDescent="0.25">
      <c r="A27" s="24" t="s">
        <v>248</v>
      </c>
      <c r="B27" s="25"/>
      <c r="C27" s="21"/>
      <c r="D27" s="22"/>
      <c r="E27" s="3"/>
      <c r="F27" s="3"/>
      <c r="G27" s="3"/>
    </row>
    <row r="28" spans="1:7" ht="15.75" hidden="1" x14ac:dyDescent="0.25">
      <c r="A28" s="24" t="s">
        <v>249</v>
      </c>
      <c r="B28" s="25"/>
      <c r="C28" s="21"/>
      <c r="D28" s="22"/>
      <c r="E28" s="3"/>
      <c r="F28" s="3"/>
      <c r="G28" s="3"/>
    </row>
    <row r="29" spans="1:7" ht="15.75" hidden="1" x14ac:dyDescent="0.25">
      <c r="A29" s="24" t="s">
        <v>374</v>
      </c>
      <c r="B29" s="25"/>
      <c r="C29" s="21"/>
      <c r="D29" s="22"/>
      <c r="E29" s="3"/>
      <c r="F29" s="3"/>
      <c r="G29" s="3"/>
    </row>
    <row r="30" spans="1:7" ht="15.75" x14ac:dyDescent="0.25">
      <c r="A30" s="184"/>
      <c r="B30" s="20"/>
      <c r="C30" s="21"/>
      <c r="D30" s="22"/>
      <c r="E30" s="3"/>
      <c r="F30" s="3"/>
      <c r="G30" s="3"/>
    </row>
    <row r="31" spans="1:7" ht="15.75" x14ac:dyDescent="0.25">
      <c r="A31" s="185" t="s">
        <v>251</v>
      </c>
      <c r="B31" s="20"/>
      <c r="C31" s="21"/>
      <c r="D31" s="22"/>
      <c r="E31" s="3"/>
      <c r="F31" s="3"/>
      <c r="G31" s="3"/>
    </row>
    <row r="32" spans="1:7" s="34" customFormat="1" ht="31.5" x14ac:dyDescent="0.25">
      <c r="A32" s="186" t="s">
        <v>252</v>
      </c>
      <c r="B32" s="32">
        <f>SUM(B33:B41)</f>
        <v>226897.05000000002</v>
      </c>
      <c r="C32" s="21"/>
      <c r="D32" s="22"/>
      <c r="E32" s="33">
        <f>(B24-B74)/1.2/1.03</f>
        <v>-163462.99202402815</v>
      </c>
      <c r="F32" s="33" t="e">
        <f>(#REF!-#REF!)/1.2/1.03</f>
        <v>#REF!</v>
      </c>
      <c r="G32" s="33" t="e">
        <f>(#REF!-#REF!)/1.2/1.03</f>
        <v>#REF!</v>
      </c>
    </row>
    <row r="33" spans="1:7" ht="15.75" x14ac:dyDescent="0.25">
      <c r="A33" s="187" t="s">
        <v>253</v>
      </c>
      <c r="B33" s="20">
        <v>53893.26</v>
      </c>
      <c r="C33" s="21"/>
      <c r="D33" s="22">
        <v>21561.45</v>
      </c>
      <c r="E33" s="3">
        <v>24</v>
      </c>
      <c r="F33" s="3"/>
      <c r="G33" s="3"/>
    </row>
    <row r="34" spans="1:7" ht="15.75" hidden="1" x14ac:dyDescent="0.25">
      <c r="A34" s="35" t="s">
        <v>254</v>
      </c>
      <c r="B34" s="20"/>
      <c r="C34" s="21"/>
      <c r="D34" s="22">
        <v>0</v>
      </c>
      <c r="E34" s="3">
        <v>26.2</v>
      </c>
      <c r="F34" s="3"/>
      <c r="G34" s="3"/>
    </row>
    <row r="35" spans="1:7" ht="15.75" x14ac:dyDescent="0.25">
      <c r="A35" s="187" t="s">
        <v>255</v>
      </c>
      <c r="B35" s="20">
        <v>59743</v>
      </c>
      <c r="C35" s="21"/>
      <c r="D35" s="22">
        <v>0</v>
      </c>
      <c r="E35" s="3">
        <v>9.4</v>
      </c>
      <c r="F35" s="3"/>
      <c r="G35" s="3"/>
    </row>
    <row r="36" spans="1:7" ht="15.75" x14ac:dyDescent="0.25">
      <c r="A36" s="205" t="s">
        <v>375</v>
      </c>
      <c r="B36" s="141">
        <v>34565.550000000003</v>
      </c>
      <c r="C36" s="21" t="s">
        <v>234</v>
      </c>
      <c r="D36" s="22">
        <v>0</v>
      </c>
      <c r="E36" s="3">
        <v>1.6</v>
      </c>
      <c r="F36" s="3"/>
      <c r="G36" s="3"/>
    </row>
    <row r="37" spans="1:7" ht="15.75" x14ac:dyDescent="0.25">
      <c r="A37" s="205" t="s">
        <v>311</v>
      </c>
      <c r="B37" s="140">
        <v>69022.55</v>
      </c>
      <c r="C37" s="21"/>
      <c r="D37" s="22">
        <v>0</v>
      </c>
      <c r="E37" s="3"/>
      <c r="F37" s="3"/>
      <c r="G37" s="3"/>
    </row>
    <row r="38" spans="1:7" ht="15.75" x14ac:dyDescent="0.25">
      <c r="A38" s="36" t="s">
        <v>376</v>
      </c>
      <c r="B38" s="37">
        <v>889.25</v>
      </c>
      <c r="C38" s="21"/>
      <c r="D38" s="22">
        <v>0</v>
      </c>
      <c r="E38" s="3"/>
      <c r="F38" s="3"/>
      <c r="G38" s="3"/>
    </row>
    <row r="39" spans="1:7" ht="15.75" x14ac:dyDescent="0.25">
      <c r="A39" s="206" t="s">
        <v>377</v>
      </c>
      <c r="B39" s="139">
        <v>7136.64</v>
      </c>
      <c r="C39" s="21"/>
      <c r="D39" s="22">
        <v>0</v>
      </c>
      <c r="E39" s="3"/>
      <c r="F39" s="3"/>
      <c r="G39" s="3"/>
    </row>
    <row r="40" spans="1:7" ht="15.75" x14ac:dyDescent="0.25">
      <c r="A40" s="206" t="s">
        <v>378</v>
      </c>
      <c r="B40" s="139">
        <v>693.67</v>
      </c>
      <c r="C40" s="21"/>
      <c r="D40" s="22"/>
      <c r="E40" s="3"/>
      <c r="F40" s="3"/>
      <c r="G40" s="3"/>
    </row>
    <row r="41" spans="1:7" ht="15.75" x14ac:dyDescent="0.25">
      <c r="A41" s="36" t="s">
        <v>260</v>
      </c>
      <c r="B41" s="37">
        <v>953.13</v>
      </c>
      <c r="C41" s="21"/>
      <c r="D41" s="22"/>
      <c r="E41" s="3"/>
      <c r="F41" s="3"/>
      <c r="G41" s="3"/>
    </row>
    <row r="42" spans="1:7" s="34" customFormat="1" ht="47.25" x14ac:dyDescent="0.25">
      <c r="A42" s="186" t="s">
        <v>261</v>
      </c>
      <c r="B42" s="32">
        <f>SUM(B43:B45)</f>
        <v>19214</v>
      </c>
      <c r="C42" s="21"/>
      <c r="D42" s="22"/>
      <c r="E42" s="33"/>
      <c r="F42" s="33"/>
      <c r="G42" s="33"/>
    </row>
    <row r="43" spans="1:7" ht="15.75" hidden="1" x14ac:dyDescent="0.25">
      <c r="A43" s="35" t="s">
        <v>262</v>
      </c>
      <c r="B43" s="20"/>
      <c r="C43" s="39"/>
      <c r="D43" s="40"/>
      <c r="E43" s="3">
        <v>11.8</v>
      </c>
      <c r="F43" s="3"/>
      <c r="G43" s="3"/>
    </row>
    <row r="44" spans="1:7" ht="15.75" hidden="1" x14ac:dyDescent="0.25">
      <c r="A44" s="35" t="s">
        <v>263</v>
      </c>
      <c r="B44" s="20"/>
      <c r="C44" s="39"/>
      <c r="D44" s="40"/>
      <c r="E44" s="3">
        <v>37.1</v>
      </c>
      <c r="F44" s="3"/>
      <c r="G44" s="3"/>
    </row>
    <row r="45" spans="1:7" ht="15.75" x14ac:dyDescent="0.25">
      <c r="A45" s="163" t="s">
        <v>264</v>
      </c>
      <c r="B45" s="20">
        <f>19214</f>
        <v>19214</v>
      </c>
      <c r="C45" s="39"/>
      <c r="D45" s="40"/>
      <c r="E45" s="3"/>
      <c r="F45" s="3"/>
      <c r="G45" s="3"/>
    </row>
    <row r="46" spans="1:7" s="8" customFormat="1" ht="15.75" x14ac:dyDescent="0.25">
      <c r="A46" s="186" t="s">
        <v>265</v>
      </c>
      <c r="B46" s="32">
        <f>SUM(B47:B53)</f>
        <v>75594.490000000005</v>
      </c>
      <c r="C46" s="21"/>
      <c r="D46" s="22"/>
    </row>
    <row r="47" spans="1:7" ht="15.75" x14ac:dyDescent="0.25">
      <c r="A47" s="187" t="s">
        <v>266</v>
      </c>
      <c r="B47" s="20">
        <v>2621.64</v>
      </c>
      <c r="C47" s="21"/>
      <c r="D47" s="22"/>
      <c r="E47" s="3" t="s">
        <v>267</v>
      </c>
      <c r="F47" s="3"/>
      <c r="G47" s="3"/>
    </row>
    <row r="48" spans="1:7" ht="15.75" x14ac:dyDescent="0.25">
      <c r="A48" s="187" t="s">
        <v>268</v>
      </c>
      <c r="B48" s="20">
        <v>3183.42</v>
      </c>
      <c r="C48" s="21"/>
      <c r="D48" s="22"/>
      <c r="E48" s="3" t="s">
        <v>269</v>
      </c>
      <c r="F48" s="3"/>
      <c r="G48" s="3"/>
    </row>
    <row r="49" spans="1:5" ht="15.75" x14ac:dyDescent="0.25">
      <c r="A49" s="188" t="s">
        <v>275</v>
      </c>
      <c r="B49" s="20">
        <v>8133.61</v>
      </c>
      <c r="C49" s="21">
        <v>1</v>
      </c>
      <c r="D49" s="44">
        <v>700.55</v>
      </c>
      <c r="E49" s="3"/>
    </row>
    <row r="50" spans="1:5" ht="15.75" x14ac:dyDescent="0.25">
      <c r="A50" s="187" t="s">
        <v>327</v>
      </c>
      <c r="B50" s="45">
        <v>15304.67</v>
      </c>
      <c r="C50" s="46">
        <v>1</v>
      </c>
      <c r="D50" s="22">
        <v>0</v>
      </c>
      <c r="E50" s="3"/>
    </row>
    <row r="51" spans="1:5" ht="15.75" x14ac:dyDescent="0.25">
      <c r="A51" s="187" t="s">
        <v>362</v>
      </c>
      <c r="B51" s="45">
        <f>302.25+21972.41</f>
        <v>22274.66</v>
      </c>
      <c r="C51" s="46"/>
      <c r="D51" s="22"/>
      <c r="E51" s="3"/>
    </row>
    <row r="52" spans="1:5" ht="17.25" customHeight="1" x14ac:dyDescent="0.25">
      <c r="A52" s="35" t="s">
        <v>540</v>
      </c>
      <c r="B52" s="45">
        <v>19876.490000000002</v>
      </c>
      <c r="C52" s="46">
        <v>70</v>
      </c>
      <c r="D52" s="22">
        <v>2</v>
      </c>
      <c r="E52" s="3">
        <v>0</v>
      </c>
    </row>
    <row r="53" spans="1:5" ht="15.75" x14ac:dyDescent="0.25">
      <c r="A53" s="187" t="s">
        <v>552</v>
      </c>
      <c r="B53" s="45">
        <v>4200</v>
      </c>
      <c r="C53" s="48"/>
      <c r="D53" s="40">
        <v>0</v>
      </c>
      <c r="E53" s="3"/>
    </row>
    <row r="54" spans="1:5" s="8" customFormat="1" ht="15.75" x14ac:dyDescent="0.25">
      <c r="A54" s="189" t="s">
        <v>286</v>
      </c>
      <c r="B54" s="32">
        <f>SUM(B55:B62)</f>
        <v>222790.79092370451</v>
      </c>
      <c r="C54" s="39"/>
      <c r="D54" s="40"/>
    </row>
    <row r="55" spans="1:5" ht="15.75" hidden="1" x14ac:dyDescent="0.25">
      <c r="A55" s="35" t="s">
        <v>287</v>
      </c>
      <c r="B55" s="23">
        <v>0</v>
      </c>
      <c r="C55" s="39"/>
      <c r="D55" s="40"/>
      <c r="E55" s="3"/>
    </row>
    <row r="56" spans="1:5" ht="15.75" x14ac:dyDescent="0.25">
      <c r="A56" s="187" t="s">
        <v>288</v>
      </c>
      <c r="B56" s="20">
        <f>80305*1.04*1.12</f>
        <v>93539.26400000001</v>
      </c>
      <c r="C56" s="39"/>
      <c r="D56" s="40"/>
      <c r="E56" s="3"/>
    </row>
    <row r="57" spans="1:5" ht="15.75" hidden="1" x14ac:dyDescent="0.25">
      <c r="A57" s="35" t="s">
        <v>289</v>
      </c>
      <c r="B57" s="23">
        <v>0</v>
      </c>
      <c r="C57" s="39"/>
      <c r="D57" s="40"/>
      <c r="E57" s="3"/>
    </row>
    <row r="58" spans="1:5" ht="15.75" x14ac:dyDescent="0.25">
      <c r="A58" s="163" t="s">
        <v>290</v>
      </c>
      <c r="B58" s="20">
        <f>3692.62013140699*1.12</f>
        <v>4135.734547175829</v>
      </c>
      <c r="C58" s="39"/>
      <c r="D58" s="40"/>
      <c r="E58" s="3"/>
    </row>
    <row r="59" spans="1:5" ht="15.75" x14ac:dyDescent="0.25">
      <c r="A59" s="163" t="s">
        <v>291</v>
      </c>
      <c r="B59" s="20">
        <f>19124.6953076149*1.12</f>
        <v>21419.65874452869</v>
      </c>
      <c r="C59" s="39"/>
      <c r="D59" s="40"/>
      <c r="E59" s="3"/>
    </row>
    <row r="60" spans="1:5" ht="15.75" x14ac:dyDescent="0.25">
      <c r="A60" s="163" t="s">
        <v>292</v>
      </c>
      <c r="B60" s="20">
        <f>34208.84*1.04*1.12</f>
        <v>39846.456832000003</v>
      </c>
      <c r="C60" s="39"/>
      <c r="D60" s="40"/>
      <c r="E60" s="3"/>
    </row>
    <row r="61" spans="1:5" ht="15.75" x14ac:dyDescent="0.25">
      <c r="A61" s="163" t="s">
        <v>293</v>
      </c>
      <c r="B61" s="20">
        <f>5804*1.04*1.12</f>
        <v>6760.4992000000002</v>
      </c>
      <c r="C61" s="39"/>
      <c r="D61" s="40"/>
      <c r="E61" s="3"/>
    </row>
    <row r="62" spans="1:5" ht="15.75" x14ac:dyDescent="0.25">
      <c r="A62" s="163" t="s">
        <v>294</v>
      </c>
      <c r="B62" s="20">
        <f>49012*1.04*1.12</f>
        <v>57089.17760000001</v>
      </c>
      <c r="C62" s="39"/>
      <c r="D62" s="40"/>
      <c r="E62" s="3"/>
    </row>
    <row r="63" spans="1:5" ht="63" x14ac:dyDescent="0.25">
      <c r="A63" s="190" t="s">
        <v>295</v>
      </c>
      <c r="B63" s="32">
        <f>SUM(B64:B64)</f>
        <v>113120.00000000001</v>
      </c>
      <c r="C63" s="39"/>
      <c r="D63" s="40"/>
      <c r="E63" s="3"/>
    </row>
    <row r="64" spans="1:5" ht="15.75" x14ac:dyDescent="0.25">
      <c r="A64" s="163" t="s">
        <v>296</v>
      </c>
      <c r="B64" s="20">
        <f>101000*1.12</f>
        <v>113120.00000000001</v>
      </c>
      <c r="C64" s="39"/>
      <c r="D64" s="40"/>
      <c r="E64" s="3"/>
    </row>
    <row r="65" spans="1:4" s="8" customFormat="1" ht="15.75" x14ac:dyDescent="0.25">
      <c r="A65" s="189" t="s">
        <v>297</v>
      </c>
      <c r="B65" s="32">
        <f>SUM(B66:B69)</f>
        <v>103359.42000000001</v>
      </c>
      <c r="C65" s="39"/>
      <c r="D65" s="40"/>
    </row>
    <row r="66" spans="1:4" ht="15.75" x14ac:dyDescent="0.25">
      <c r="A66" s="166" t="s">
        <v>298</v>
      </c>
      <c r="B66" s="20">
        <f>72000*1.12</f>
        <v>80640.000000000015</v>
      </c>
      <c r="C66" s="39"/>
      <c r="D66" s="40"/>
    </row>
    <row r="67" spans="1:4" ht="15.75" hidden="1" x14ac:dyDescent="0.25">
      <c r="A67" s="51" t="s">
        <v>299</v>
      </c>
      <c r="B67" s="23">
        <f>(B26/1.2)*30%</f>
        <v>0</v>
      </c>
      <c r="C67" s="39"/>
      <c r="D67" s="40"/>
    </row>
    <row r="68" spans="1:4" ht="15.75" x14ac:dyDescent="0.25">
      <c r="A68" s="191" t="s">
        <v>300</v>
      </c>
      <c r="B68" s="20">
        <f>9481.88+6517.54</f>
        <v>15999.419999999998</v>
      </c>
      <c r="C68" s="39"/>
      <c r="D68" s="40"/>
    </row>
    <row r="69" spans="1:4" ht="15.75" x14ac:dyDescent="0.25">
      <c r="A69" s="191" t="s">
        <v>301</v>
      </c>
      <c r="B69" s="20">
        <f>6000*1.12</f>
        <v>6720.0000000000009</v>
      </c>
      <c r="C69" s="39"/>
      <c r="D69" s="40"/>
    </row>
    <row r="70" spans="1:4" ht="15.75" x14ac:dyDescent="0.25">
      <c r="A70" s="192" t="s">
        <v>302</v>
      </c>
      <c r="B70" s="25">
        <f>B32+B42+B46+B54+B63+B65</f>
        <v>760975.75092370459</v>
      </c>
      <c r="C70" s="39"/>
      <c r="D70" s="40"/>
    </row>
    <row r="71" spans="1:4" ht="15.75" x14ac:dyDescent="0.25">
      <c r="A71" s="193" t="s">
        <v>303</v>
      </c>
      <c r="B71" s="20">
        <f>B70*0.03</f>
        <v>22829.272527711139</v>
      </c>
      <c r="C71" s="39"/>
      <c r="D71" s="40"/>
    </row>
    <row r="72" spans="1:4" s="34" customFormat="1" ht="15.75" x14ac:dyDescent="0.25">
      <c r="A72" s="194" t="s">
        <v>304</v>
      </c>
      <c r="B72" s="32">
        <f>B70+B71</f>
        <v>783805.02345141571</v>
      </c>
      <c r="C72" s="39"/>
      <c r="D72" s="40"/>
    </row>
    <row r="73" spans="1:4" ht="16.5" thickBot="1" x14ac:dyDescent="0.3">
      <c r="A73" s="195" t="s">
        <v>305</v>
      </c>
      <c r="B73" s="57">
        <f>B72*0.2</f>
        <v>156761.00469028315</v>
      </c>
      <c r="C73" s="39"/>
      <c r="D73" s="40"/>
    </row>
    <row r="74" spans="1:4" s="8" customFormat="1" ht="16.5" thickBot="1" x14ac:dyDescent="0.3">
      <c r="A74" s="196" t="s">
        <v>306</v>
      </c>
      <c r="B74" s="59">
        <f>B72+B73</f>
        <v>940566.0281416988</v>
      </c>
      <c r="C74" s="60"/>
      <c r="D74" s="61"/>
    </row>
    <row r="75" spans="1:4" s="8" customFormat="1" ht="16.5" thickBot="1" x14ac:dyDescent="0.3">
      <c r="A75" s="197" t="s">
        <v>307</v>
      </c>
      <c r="B75" s="59">
        <f>B10+B24+B26+B28+B29-B74</f>
        <v>-1594058.0881416989</v>
      </c>
      <c r="C75" s="63"/>
      <c r="D75" s="63"/>
    </row>
    <row r="76" spans="1:4" s="8" customFormat="1" ht="16.5" thickBot="1" x14ac:dyDescent="0.3">
      <c r="A76" s="198" t="s">
        <v>308</v>
      </c>
      <c r="B76" s="59">
        <f>B10+B25+B27++B28+B29-B74</f>
        <v>-1618176.5081416988</v>
      </c>
      <c r="C76" s="63"/>
      <c r="D76" s="63"/>
    </row>
    <row r="77" spans="1:4" s="8" customFormat="1" ht="16.5" hidden="1" thickBot="1" x14ac:dyDescent="0.3">
      <c r="A77" s="199" t="s">
        <v>309</v>
      </c>
      <c r="B77" s="59">
        <f>B11+B24-B25</f>
        <v>24118.419999999925</v>
      </c>
      <c r="C77" s="63"/>
      <c r="D77" s="63"/>
    </row>
    <row r="78" spans="1:4" s="8" customFormat="1" ht="15.75" x14ac:dyDescent="0.25">
      <c r="A78" s="200"/>
      <c r="B78" s="68"/>
      <c r="C78" s="63"/>
      <c r="D78" s="63"/>
    </row>
    <row r="79" spans="1:4" ht="15.75" x14ac:dyDescent="0.25">
      <c r="A79" s="201"/>
      <c r="B79" s="70"/>
      <c r="C79" s="3"/>
      <c r="D79" s="3"/>
    </row>
    <row r="80" spans="1:4" ht="15.75" x14ac:dyDescent="0.25">
      <c r="A80" s="310" t="s">
        <v>310</v>
      </c>
      <c r="B80" s="310"/>
      <c r="C80" s="3"/>
      <c r="D80" s="3"/>
    </row>
    <row r="81" spans="1:4" ht="15.75" x14ac:dyDescent="0.25">
      <c r="A81" s="201"/>
      <c r="B81" s="71"/>
      <c r="C81" s="3"/>
      <c r="D81" s="3"/>
    </row>
    <row r="82" spans="1:4" ht="15.75" x14ac:dyDescent="0.25">
      <c r="A82" s="312"/>
      <c r="B82" s="312"/>
      <c r="C82" s="72"/>
    </row>
    <row r="83" spans="1:4" ht="15.75" x14ac:dyDescent="0.25">
      <c r="A83" s="70"/>
      <c r="B83" s="70"/>
      <c r="C83" s="3"/>
    </row>
    <row r="84" spans="1:4" ht="15.75" x14ac:dyDescent="0.25">
      <c r="A84" s="70"/>
      <c r="B84" s="70"/>
      <c r="C84" s="3"/>
    </row>
    <row r="85" spans="1:4" ht="15.75" x14ac:dyDescent="0.25">
      <c r="A85" s="70"/>
      <c r="B85" s="70"/>
      <c r="C85" s="3"/>
    </row>
    <row r="86" spans="1:4" ht="15.75" x14ac:dyDescent="0.25">
      <c r="A86" s="70"/>
      <c r="B86" s="70"/>
      <c r="C86" s="3"/>
    </row>
    <row r="87" spans="1:4" ht="15.75" x14ac:dyDescent="0.25">
      <c r="A87" s="70"/>
      <c r="B87" s="70"/>
      <c r="C87" s="3"/>
    </row>
    <row r="88" spans="1:4" ht="15.75" x14ac:dyDescent="0.25">
      <c r="A88" s="70"/>
      <c r="B88" s="297"/>
      <c r="C88" s="3"/>
    </row>
    <row r="89" spans="1:4" ht="15.75" x14ac:dyDescent="0.25">
      <c r="A89" s="70"/>
      <c r="B89" s="70"/>
      <c r="C89" s="3"/>
    </row>
    <row r="90" spans="1:4" ht="15.75" hidden="1" x14ac:dyDescent="0.25">
      <c r="A90" s="70"/>
      <c r="B90" s="70"/>
      <c r="C90" s="3"/>
    </row>
    <row r="91" spans="1:4" ht="15.75" x14ac:dyDescent="0.25">
      <c r="A91" s="70"/>
      <c r="B91" s="70"/>
      <c r="C91" s="3"/>
    </row>
    <row r="92" spans="1:4" ht="15.75" x14ac:dyDescent="0.25">
      <c r="A92" s="3"/>
      <c r="B92" s="70"/>
      <c r="C92" s="3"/>
    </row>
  </sheetData>
  <autoFilter ref="A32:B77" xr:uid="{00000000-0009-0000-0000-000040000000}">
    <filterColumn colId="1">
      <filters>
        <filter val="-1 297 211,53"/>
        <filter val="-1 307 901,53"/>
        <filter val="1 674,13"/>
        <filter val="10 024,63"/>
        <filter val="10 690,00"/>
        <filter val="10 990,92"/>
        <filter val="106 865,85"/>
        <filter val="11 857,63"/>
        <filter val="15 562,99"/>
        <filter val="182 584,81"/>
        <filter val="2 393,55"/>
        <filter val="20 238,82"/>
        <filter val="24 096,44"/>
        <filter val="26 213,93"/>
        <filter val="3 746,81"/>
        <filter val="32 083,33"/>
        <filter val="33 357,59"/>
        <filter val="37 133,93"/>
        <filter val="4 515,18"/>
        <filter val="43 667,66"/>
        <filter val="46 365,70"/>
        <filter val="5 670,96"/>
        <filter val="518 766,24"/>
        <filter val="524,32"/>
        <filter val="534 329,23"/>
        <filter val="6 151,09"/>
        <filter val="60 630,51"/>
        <filter val="64 000,41"/>
        <filter val="641 195,07"/>
        <filter val="69 230,38"/>
        <filter val="8 593,01"/>
        <filter val="80 304,67"/>
        <filter val="80 904,76"/>
        <filter val="9 076,68"/>
        <filter val="9 430,87"/>
        <filter val="9 749,63"/>
      </filters>
    </filterColumn>
  </autoFilter>
  <mergeCells count="9">
    <mergeCell ref="D8:D9"/>
    <mergeCell ref="A80:B80"/>
    <mergeCell ref="A82:B82"/>
    <mergeCell ref="A1:B1"/>
    <mergeCell ref="A2:B2"/>
    <mergeCell ref="A3:B3"/>
    <mergeCell ref="A8:A9"/>
    <mergeCell ref="B8:B9"/>
    <mergeCell ref="C8:C9"/>
  </mergeCells>
  <phoneticPr fontId="43" type="noConversion"/>
  <pageMargins left="0.9055118110236221" right="0.9055118110236221" top="0.74803149606299213" bottom="0.74803149606299213" header="0.31496062992125984" footer="0.31496062992125984"/>
  <pageSetup paperSize="9" scale="66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filterMode="1">
    <pageSetUpPr fitToPage="1"/>
  </sheetPr>
  <dimension ref="A1:G95"/>
  <sheetViews>
    <sheetView view="pageBreakPreview" topLeftCell="A45" zoomScale="80" zoomScaleNormal="100" zoomScaleSheetLayoutView="80" workbookViewId="0">
      <selection activeCell="B81" sqref="B81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25" t="s">
        <v>224</v>
      </c>
      <c r="B1" s="325"/>
      <c r="C1" s="77"/>
      <c r="D1" s="77"/>
    </row>
    <row r="2" spans="1:4" ht="16.5" x14ac:dyDescent="0.25">
      <c r="A2" s="326" t="s">
        <v>225</v>
      </c>
      <c r="B2" s="326"/>
      <c r="C2" s="77"/>
      <c r="D2" s="77"/>
    </row>
    <row r="3" spans="1:4" ht="16.5" x14ac:dyDescent="0.25">
      <c r="A3" s="326" t="s">
        <v>226</v>
      </c>
      <c r="B3" s="326"/>
      <c r="C3" s="77"/>
      <c r="D3" s="77"/>
    </row>
    <row r="4" spans="1:4" ht="15.75" x14ac:dyDescent="0.25">
      <c r="A4" s="78" t="s">
        <v>516</v>
      </c>
      <c r="B4" s="78"/>
      <c r="C4" s="77"/>
      <c r="D4" s="77"/>
    </row>
    <row r="5" spans="1:4" ht="15.75" x14ac:dyDescent="0.25">
      <c r="A5" s="78" t="s">
        <v>175</v>
      </c>
      <c r="B5" s="78"/>
      <c r="C5" s="77"/>
      <c r="D5" s="77"/>
    </row>
    <row r="6" spans="1:4" ht="5.25" customHeight="1" x14ac:dyDescent="0.25">
      <c r="A6" s="78"/>
      <c r="B6" s="8"/>
      <c r="C6" s="79"/>
      <c r="D6" s="77"/>
    </row>
    <row r="7" spans="1:4" ht="16.5" thickBot="1" x14ac:dyDescent="0.3">
      <c r="A7" s="80"/>
      <c r="B7" s="8"/>
      <c r="C7" s="79"/>
      <c r="D7" s="77"/>
    </row>
    <row r="8" spans="1:4" ht="15.75" customHeight="1" x14ac:dyDescent="0.2">
      <c r="A8" s="327" t="s">
        <v>227</v>
      </c>
      <c r="B8" s="329" t="s">
        <v>228</v>
      </c>
      <c r="C8" s="331" t="s">
        <v>229</v>
      </c>
      <c r="D8" s="321" t="s">
        <v>230</v>
      </c>
    </row>
    <row r="9" spans="1:4" ht="28.5" customHeight="1" thickBot="1" x14ac:dyDescent="0.25">
      <c r="A9" s="328"/>
      <c r="B9" s="330"/>
      <c r="C9" s="332"/>
      <c r="D9" s="322"/>
    </row>
    <row r="10" spans="1:4" ht="16.5" thickBot="1" x14ac:dyDescent="0.25">
      <c r="A10" s="81" t="s">
        <v>231</v>
      </c>
      <c r="B10" s="302">
        <f>VLOOKUP(A5,мкд!S:T,2,FALSE)</f>
        <v>-114072.29</v>
      </c>
      <c r="C10" s="83"/>
      <c r="D10" s="84"/>
    </row>
    <row r="11" spans="1:4" ht="16.5" hidden="1" thickBot="1" x14ac:dyDescent="0.25">
      <c r="A11" s="85" t="s">
        <v>232</v>
      </c>
      <c r="B11" s="210"/>
      <c r="C11" s="84"/>
      <c r="D11" s="86"/>
    </row>
    <row r="12" spans="1:4" ht="16.5" thickBot="1" x14ac:dyDescent="0.3">
      <c r="A12" s="87" t="s">
        <v>233</v>
      </c>
      <c r="B12" s="217"/>
      <c r="C12" s="89" t="s">
        <v>234</v>
      </c>
      <c r="D12" s="90" t="s">
        <v>234</v>
      </c>
    </row>
    <row r="13" spans="1:4" ht="16.5" hidden="1" thickBot="1" x14ac:dyDescent="0.3">
      <c r="A13" s="91" t="s">
        <v>235</v>
      </c>
      <c r="B13" s="23">
        <v>4547.6000000000004</v>
      </c>
      <c r="C13" s="90" t="s">
        <v>234</v>
      </c>
      <c r="D13" s="92" t="s">
        <v>234</v>
      </c>
    </row>
    <row r="14" spans="1:4" ht="16.5" hidden="1" thickBot="1" x14ac:dyDescent="0.3">
      <c r="A14" s="91" t="s">
        <v>236</v>
      </c>
      <c r="B14" s="23">
        <v>0</v>
      </c>
      <c r="C14" s="93"/>
      <c r="D14" s="92"/>
    </row>
    <row r="15" spans="1:4" ht="16.5" hidden="1" thickBot="1" x14ac:dyDescent="0.3">
      <c r="A15" s="91" t="s">
        <v>237</v>
      </c>
      <c r="B15" s="23">
        <f>B13+B14</f>
        <v>4547.6000000000004</v>
      </c>
      <c r="C15" s="94"/>
      <c r="D15" s="95"/>
    </row>
    <row r="16" spans="1:4" ht="16.5" hidden="1" thickBot="1" x14ac:dyDescent="0.3">
      <c r="A16" s="91" t="s">
        <v>238</v>
      </c>
      <c r="B16" s="23">
        <f>1492+3448/3</f>
        <v>2641.333333333333</v>
      </c>
      <c r="C16" s="96" t="s">
        <v>234</v>
      </c>
      <c r="D16" s="95" t="s">
        <v>234</v>
      </c>
    </row>
    <row r="17" spans="1:7" ht="16.5" hidden="1" thickBot="1" x14ac:dyDescent="0.3">
      <c r="A17" s="91" t="s">
        <v>239</v>
      </c>
      <c r="B17" s="23">
        <v>0</v>
      </c>
      <c r="C17" s="90" t="s">
        <v>234</v>
      </c>
      <c r="D17" s="92" t="s">
        <v>234</v>
      </c>
      <c r="E17" s="77"/>
      <c r="F17" s="77"/>
      <c r="G17" s="77"/>
    </row>
    <row r="18" spans="1:7" ht="16.5" hidden="1" thickBot="1" x14ac:dyDescent="0.3">
      <c r="A18" s="91" t="s">
        <v>240</v>
      </c>
      <c r="B18" s="23">
        <v>1265.3</v>
      </c>
      <c r="C18" s="95" t="s">
        <v>234</v>
      </c>
      <c r="D18" s="92" t="s">
        <v>234</v>
      </c>
      <c r="E18" s="77"/>
      <c r="F18" s="77"/>
      <c r="G18" s="77"/>
    </row>
    <row r="19" spans="1:7" ht="16.5" hidden="1" thickBot="1" x14ac:dyDescent="0.3">
      <c r="A19" s="91" t="s">
        <v>241</v>
      </c>
      <c r="B19" s="23">
        <v>0</v>
      </c>
      <c r="C19" s="95" t="s">
        <v>234</v>
      </c>
      <c r="D19" s="92" t="s">
        <v>234</v>
      </c>
      <c r="E19" s="77"/>
      <c r="F19" s="77"/>
      <c r="G19" s="77"/>
    </row>
    <row r="20" spans="1:7" ht="16.5" hidden="1" thickBot="1" x14ac:dyDescent="0.3">
      <c r="A20" s="91" t="s">
        <v>242</v>
      </c>
      <c r="B20" s="23">
        <v>1432</v>
      </c>
      <c r="C20" s="95"/>
      <c r="D20" s="92"/>
      <c r="E20" s="77"/>
      <c r="F20" s="77"/>
      <c r="G20" s="77"/>
    </row>
    <row r="21" spans="1:7" ht="16.5" hidden="1" thickBot="1" x14ac:dyDescent="0.3">
      <c r="A21" s="91" t="s">
        <v>243</v>
      </c>
      <c r="B21" s="23">
        <v>0</v>
      </c>
      <c r="C21" s="95" t="s">
        <v>234</v>
      </c>
      <c r="D21" s="92" t="s">
        <v>234</v>
      </c>
      <c r="E21" s="77"/>
      <c r="F21" s="77"/>
      <c r="G21" s="77"/>
    </row>
    <row r="22" spans="1:7" ht="16.5" hidden="1" thickBot="1" x14ac:dyDescent="0.3">
      <c r="A22" s="91" t="s">
        <v>244</v>
      </c>
      <c r="B22" s="23">
        <v>262</v>
      </c>
      <c r="C22" s="93"/>
      <c r="D22" s="92"/>
      <c r="E22" s="77"/>
      <c r="F22" s="77"/>
      <c r="G22" s="77"/>
    </row>
    <row r="23" spans="1:7" ht="15.75" x14ac:dyDescent="0.25">
      <c r="A23" s="91"/>
      <c r="B23" s="23"/>
      <c r="C23" s="94"/>
      <c r="D23" s="95"/>
      <c r="E23" s="77"/>
      <c r="F23" s="77"/>
      <c r="G23" s="77"/>
    </row>
    <row r="24" spans="1:7" ht="15.75" x14ac:dyDescent="0.25">
      <c r="A24" s="97" t="s">
        <v>319</v>
      </c>
      <c r="B24" s="28">
        <f>VLOOKUP(A5,[2]Лист1!M$1:N$65536,2,FALSE)</f>
        <v>770207.21000000008</v>
      </c>
      <c r="C24" s="92"/>
      <c r="D24" s="95"/>
      <c r="E24" s="26">
        <v>13.84</v>
      </c>
      <c r="F24" s="77"/>
      <c r="G24" s="77"/>
    </row>
    <row r="25" spans="1:7" ht="16.5" thickBot="1" x14ac:dyDescent="0.3">
      <c r="A25" s="97" t="s">
        <v>320</v>
      </c>
      <c r="B25" s="28">
        <f>VLOOKUP(A5,[2]Лист1!M$1:O$65536,3,FALSE)</f>
        <v>819761.2699999999</v>
      </c>
      <c r="C25" s="96"/>
      <c r="D25" s="95"/>
      <c r="E25" s="77"/>
      <c r="F25" s="77"/>
      <c r="G25" s="77"/>
    </row>
    <row r="26" spans="1:7" ht="16.5" hidden="1" thickBot="1" x14ac:dyDescent="0.3">
      <c r="A26" s="97" t="s">
        <v>321</v>
      </c>
      <c r="B26" s="28"/>
      <c r="C26" s="90"/>
      <c r="D26" s="92"/>
      <c r="E26" s="77"/>
      <c r="F26" s="77"/>
      <c r="G26" s="77"/>
    </row>
    <row r="27" spans="1:7" ht="16.5" hidden="1" thickBot="1" x14ac:dyDescent="0.3">
      <c r="A27" s="97" t="s">
        <v>248</v>
      </c>
      <c r="B27" s="28">
        <f>B26</f>
        <v>0</v>
      </c>
      <c r="C27" s="93"/>
      <c r="D27" s="92"/>
      <c r="E27" s="77"/>
      <c r="F27" s="77"/>
      <c r="G27" s="77"/>
    </row>
    <row r="28" spans="1:7" ht="16.5" thickBot="1" x14ac:dyDescent="0.3">
      <c r="A28" s="97" t="s">
        <v>249</v>
      </c>
      <c r="B28" s="28">
        <v>7611.96</v>
      </c>
      <c r="C28" s="89"/>
      <c r="D28" s="95"/>
      <c r="E28" s="77"/>
      <c r="F28" s="77"/>
      <c r="G28" s="77"/>
    </row>
    <row r="29" spans="1:7" ht="16.5" hidden="1" thickBot="1" x14ac:dyDescent="0.3">
      <c r="A29" s="97" t="s">
        <v>250</v>
      </c>
      <c r="B29" s="28"/>
      <c r="C29" s="98"/>
      <c r="D29" s="92"/>
      <c r="E29" s="77"/>
      <c r="F29" s="77"/>
      <c r="G29" s="77"/>
    </row>
    <row r="30" spans="1:7" ht="15.75" x14ac:dyDescent="0.25">
      <c r="A30" s="99"/>
      <c r="B30" s="23"/>
      <c r="C30" s="94"/>
      <c r="D30" s="95"/>
      <c r="E30" s="77"/>
      <c r="F30" s="77"/>
      <c r="G30" s="77"/>
    </row>
    <row r="31" spans="1:7" ht="15.75" x14ac:dyDescent="0.25">
      <c r="A31" s="100" t="s">
        <v>251</v>
      </c>
      <c r="B31" s="23"/>
      <c r="C31" s="92"/>
      <c r="D31" s="95"/>
      <c r="E31" s="77"/>
      <c r="F31" s="77"/>
      <c r="G31" s="77"/>
    </row>
    <row r="32" spans="1:7" s="103" customFormat="1" ht="31.5" x14ac:dyDescent="0.25">
      <c r="A32" s="101" t="s">
        <v>252</v>
      </c>
      <c r="B32" s="208">
        <f>SUM(B33:B41)</f>
        <v>69342.335313999996</v>
      </c>
      <c r="C32" s="92"/>
      <c r="D32" s="95"/>
      <c r="E32" s="102">
        <f>(B86-B26-B24)/1.2/1.03</f>
        <v>148138.45190416271</v>
      </c>
      <c r="F32" s="102" t="e">
        <f>(#REF!-#REF!-#REF!)/1.2/1.03</f>
        <v>#REF!</v>
      </c>
      <c r="G32" s="102" t="e">
        <f>(#REF!-#REF!-#REF!)/1.2/1.03</f>
        <v>#REF!</v>
      </c>
    </row>
    <row r="33" spans="1:7" ht="16.5" thickBot="1" x14ac:dyDescent="0.3">
      <c r="A33" s="104" t="s">
        <v>253</v>
      </c>
      <c r="B33" s="23">
        <f>36319.81*1.1194</f>
        <v>40656.395313999994</v>
      </c>
      <c r="C33" s="96"/>
      <c r="D33" s="95">
        <v>83473.31</v>
      </c>
      <c r="E33" s="77"/>
      <c r="F33" s="77"/>
      <c r="G33" s="77"/>
    </row>
    <row r="34" spans="1:7" ht="15.75" hidden="1" x14ac:dyDescent="0.25">
      <c r="A34" s="104" t="s">
        <v>322</v>
      </c>
      <c r="B34" s="23">
        <v>0</v>
      </c>
      <c r="C34" s="90"/>
      <c r="D34" s="92">
        <v>0</v>
      </c>
      <c r="E34" s="77"/>
      <c r="F34" s="77"/>
      <c r="G34" s="77"/>
    </row>
    <row r="35" spans="1:7" ht="15.75" hidden="1" x14ac:dyDescent="0.25">
      <c r="A35" s="104" t="s">
        <v>256</v>
      </c>
      <c r="B35" s="23"/>
      <c r="C35" s="95"/>
      <c r="D35" s="92">
        <v>0</v>
      </c>
      <c r="E35" s="77"/>
      <c r="F35" s="77"/>
      <c r="G35" s="77"/>
    </row>
    <row r="36" spans="1:7" ht="15.75" x14ac:dyDescent="0.25">
      <c r="A36" s="104" t="s">
        <v>255</v>
      </c>
      <c r="B36" s="23">
        <v>16050.54</v>
      </c>
      <c r="C36" s="95" t="s">
        <v>234</v>
      </c>
      <c r="D36" s="92">
        <v>0</v>
      </c>
      <c r="E36" s="77"/>
      <c r="F36" s="77"/>
      <c r="G36" s="77"/>
    </row>
    <row r="37" spans="1:7" ht="16.5" thickBot="1" x14ac:dyDescent="0.3">
      <c r="A37" s="104" t="s">
        <v>257</v>
      </c>
      <c r="B37" s="23">
        <v>12635.400000000001</v>
      </c>
      <c r="C37" s="95"/>
      <c r="D37" s="92">
        <v>0</v>
      </c>
      <c r="E37" s="77"/>
      <c r="F37" s="77"/>
      <c r="G37" s="77"/>
    </row>
    <row r="38" spans="1:7" ht="16.5" hidden="1" thickBot="1" x14ac:dyDescent="0.3">
      <c r="A38" s="104" t="s">
        <v>343</v>
      </c>
      <c r="B38" s="23">
        <v>0</v>
      </c>
      <c r="C38" s="95"/>
      <c r="D38" s="92">
        <v>0</v>
      </c>
      <c r="E38" s="77"/>
      <c r="F38" s="77"/>
      <c r="G38" s="77"/>
    </row>
    <row r="39" spans="1:7" ht="16.5" hidden="1" thickBot="1" x14ac:dyDescent="0.3">
      <c r="A39" s="104" t="s">
        <v>324</v>
      </c>
      <c r="B39" s="23">
        <v>0</v>
      </c>
      <c r="C39" s="95"/>
      <c r="D39" s="92">
        <v>0</v>
      </c>
      <c r="E39" s="77"/>
      <c r="F39" s="77"/>
      <c r="G39" s="77"/>
    </row>
    <row r="40" spans="1:7" ht="16.5" hidden="1" thickBot="1" x14ac:dyDescent="0.3">
      <c r="A40" s="104" t="s">
        <v>312</v>
      </c>
      <c r="B40" s="23">
        <v>0</v>
      </c>
      <c r="C40" s="95"/>
      <c r="D40" s="92"/>
      <c r="E40" s="77"/>
      <c r="F40" s="77"/>
      <c r="G40" s="77"/>
    </row>
    <row r="41" spans="1:7" ht="16.5" hidden="1" thickBot="1" x14ac:dyDescent="0.3">
      <c r="A41" s="104" t="s">
        <v>257</v>
      </c>
      <c r="B41" s="23">
        <v>0</v>
      </c>
      <c r="C41" s="93"/>
      <c r="D41" s="92"/>
      <c r="E41" s="77"/>
      <c r="F41" s="77"/>
      <c r="G41" s="77"/>
    </row>
    <row r="42" spans="1:7" s="103" customFormat="1" ht="48" thickBot="1" x14ac:dyDescent="0.3">
      <c r="A42" s="101" t="s">
        <v>325</v>
      </c>
      <c r="B42" s="208">
        <f>SUM(B43:B45)</f>
        <v>27614.426461126925</v>
      </c>
      <c r="C42" s="89"/>
      <c r="D42" s="95"/>
      <c r="E42" s="102"/>
      <c r="F42" s="102"/>
      <c r="G42" s="102"/>
    </row>
    <row r="43" spans="1:7" ht="15.75" hidden="1" x14ac:dyDescent="0.25">
      <c r="A43" s="104" t="s">
        <v>262</v>
      </c>
      <c r="B43" s="23"/>
      <c r="C43" s="98"/>
      <c r="D43" s="108"/>
      <c r="E43" s="77"/>
      <c r="F43" s="77"/>
      <c r="G43" s="77"/>
    </row>
    <row r="44" spans="1:7" ht="15.75" hidden="1" x14ac:dyDescent="0.25">
      <c r="A44" s="104" t="s">
        <v>263</v>
      </c>
      <c r="B44" s="23"/>
      <c r="C44" s="93"/>
      <c r="D44" s="108"/>
      <c r="E44" s="77"/>
      <c r="F44" s="77"/>
      <c r="G44" s="77"/>
    </row>
    <row r="45" spans="1:7" ht="16.5" thickBot="1" x14ac:dyDescent="0.3">
      <c r="A45" s="109" t="s">
        <v>264</v>
      </c>
      <c r="B45" s="23">
        <f>('[3]34тарифы'!D163*B15+541.82)*1.1194</f>
        <v>27614.426461126925</v>
      </c>
      <c r="C45" s="93"/>
      <c r="D45" s="108"/>
      <c r="E45" s="77"/>
      <c r="F45" s="77"/>
      <c r="G45" s="77"/>
    </row>
    <row r="46" spans="1:7" s="79" customFormat="1" ht="16.5" thickBot="1" x14ac:dyDescent="0.3">
      <c r="A46" s="101" t="s">
        <v>265</v>
      </c>
      <c r="B46" s="208">
        <f>SUM(B47:B65)</f>
        <v>99903.780000000013</v>
      </c>
      <c r="C46" s="89"/>
      <c r="D46" s="95"/>
    </row>
    <row r="47" spans="1:7" ht="15.75" x14ac:dyDescent="0.25">
      <c r="A47" s="104" t="s">
        <v>326</v>
      </c>
      <c r="B47" s="283">
        <v>5314.2</v>
      </c>
      <c r="C47" s="90"/>
      <c r="D47" s="92"/>
      <c r="E47" s="77" t="s">
        <v>267</v>
      </c>
      <c r="F47" s="77"/>
      <c r="G47" s="77"/>
    </row>
    <row r="48" spans="1:7" ht="15.75" x14ac:dyDescent="0.25">
      <c r="A48" s="104" t="s">
        <v>317</v>
      </c>
      <c r="B48" s="283">
        <v>6453</v>
      </c>
      <c r="C48" s="95"/>
      <c r="D48" s="92"/>
      <c r="E48" s="77" t="s">
        <v>269</v>
      </c>
      <c r="F48" s="77"/>
      <c r="G48" s="77"/>
    </row>
    <row r="49" spans="1:5" ht="15.75" x14ac:dyDescent="0.25">
      <c r="A49" s="110" t="s">
        <v>394</v>
      </c>
      <c r="B49" s="283">
        <v>7200</v>
      </c>
      <c r="C49" s="95"/>
      <c r="D49" s="92"/>
      <c r="E49" s="77"/>
    </row>
    <row r="50" spans="1:5" ht="15.75" x14ac:dyDescent="0.25">
      <c r="A50" s="110" t="s">
        <v>282</v>
      </c>
      <c r="B50" s="288">
        <v>19.399999999999999</v>
      </c>
      <c r="C50" s="95"/>
      <c r="D50" s="92">
        <v>4190</v>
      </c>
      <c r="E50" s="77"/>
    </row>
    <row r="51" spans="1:5" ht="15.75" x14ac:dyDescent="0.25">
      <c r="A51" s="110" t="s">
        <v>542</v>
      </c>
      <c r="B51" s="283">
        <v>4200</v>
      </c>
      <c r="C51" s="95"/>
      <c r="D51" s="92"/>
      <c r="E51" s="77"/>
    </row>
    <row r="52" spans="1:5" ht="15.75" hidden="1" x14ac:dyDescent="0.25">
      <c r="A52" s="110" t="s">
        <v>273</v>
      </c>
      <c r="B52" s="23">
        <f>B21*'[3]34тарифы'!D177</f>
        <v>0</v>
      </c>
      <c r="C52" s="95"/>
      <c r="D52" s="92">
        <v>105.14</v>
      </c>
      <c r="E52" s="77"/>
    </row>
    <row r="53" spans="1:5" ht="15.75" x14ac:dyDescent="0.25">
      <c r="A53" s="110" t="s">
        <v>274</v>
      </c>
      <c r="B53" s="23">
        <v>15400</v>
      </c>
      <c r="C53" s="95">
        <v>0</v>
      </c>
      <c r="D53" s="92">
        <v>522.99</v>
      </c>
      <c r="E53" s="77"/>
    </row>
    <row r="54" spans="1:5" ht="15.75" x14ac:dyDescent="0.25">
      <c r="A54" s="110" t="s">
        <v>275</v>
      </c>
      <c r="B54" s="23">
        <v>8133.62</v>
      </c>
      <c r="C54" s="95">
        <v>1</v>
      </c>
      <c r="D54" s="111">
        <v>700.55</v>
      </c>
      <c r="E54" s="77"/>
    </row>
    <row r="55" spans="1:5" ht="15.75" x14ac:dyDescent="0.25">
      <c r="A55" s="110" t="s">
        <v>348</v>
      </c>
      <c r="B55" s="23">
        <v>0</v>
      </c>
      <c r="C55" s="95"/>
      <c r="D55" s="111"/>
      <c r="E55" s="77"/>
    </row>
    <row r="56" spans="1:5" ht="15.75" hidden="1" x14ac:dyDescent="0.25">
      <c r="A56" s="110" t="s">
        <v>277</v>
      </c>
      <c r="B56" s="23">
        <v>0</v>
      </c>
      <c r="C56" s="95">
        <v>0</v>
      </c>
      <c r="D56" s="92">
        <f>10695.76/1.18</f>
        <v>9064.203389830509</v>
      </c>
      <c r="E56" s="77"/>
    </row>
    <row r="57" spans="1:5" ht="15.75" hidden="1" x14ac:dyDescent="0.25">
      <c r="A57" s="110" t="s">
        <v>314</v>
      </c>
      <c r="B57" s="23">
        <v>0</v>
      </c>
      <c r="C57" s="95">
        <v>0</v>
      </c>
      <c r="D57" s="92">
        <f>2300/1.18</f>
        <v>1949.1525423728815</v>
      </c>
      <c r="E57" s="77"/>
    </row>
    <row r="58" spans="1:5" ht="15.75" hidden="1" x14ac:dyDescent="0.25">
      <c r="A58" s="110" t="s">
        <v>347</v>
      </c>
      <c r="B58" s="23">
        <v>0</v>
      </c>
      <c r="C58" s="93">
        <v>0</v>
      </c>
      <c r="D58" s="92">
        <v>0</v>
      </c>
      <c r="E58" s="77"/>
    </row>
    <row r="59" spans="1:5" ht="16.5" hidden="1" thickBot="1" x14ac:dyDescent="0.3">
      <c r="A59" s="110" t="s">
        <v>279</v>
      </c>
      <c r="B59" s="23">
        <v>0</v>
      </c>
      <c r="C59" s="89"/>
      <c r="D59" s="95"/>
      <c r="E59" s="77"/>
    </row>
    <row r="60" spans="1:5" ht="15.75" x14ac:dyDescent="0.25">
      <c r="A60" s="104" t="s">
        <v>553</v>
      </c>
      <c r="B60" s="283">
        <v>20063.84</v>
      </c>
      <c r="C60" s="90"/>
      <c r="D60" s="92"/>
      <c r="E60" s="77"/>
    </row>
    <row r="61" spans="1:5" ht="15.75" hidden="1" x14ac:dyDescent="0.25">
      <c r="A61" s="104" t="s">
        <v>394</v>
      </c>
      <c r="B61" s="23">
        <v>0</v>
      </c>
      <c r="C61" s="95"/>
      <c r="D61" s="92">
        <v>0</v>
      </c>
      <c r="E61" s="77"/>
    </row>
    <row r="62" spans="1:5" ht="15.75" hidden="1" x14ac:dyDescent="0.25">
      <c r="A62" s="104" t="s">
        <v>494</v>
      </c>
      <c r="B62" s="23">
        <v>0</v>
      </c>
      <c r="C62" s="95"/>
      <c r="D62" s="92">
        <v>0</v>
      </c>
      <c r="E62" s="77"/>
    </row>
    <row r="63" spans="1:5" ht="16.5" thickBot="1" x14ac:dyDescent="0.3">
      <c r="A63" s="104" t="s">
        <v>495</v>
      </c>
      <c r="B63" s="283">
        <v>33119.72</v>
      </c>
      <c r="C63" s="113">
        <v>1</v>
      </c>
      <c r="D63" s="92">
        <v>0</v>
      </c>
      <c r="E63" s="77"/>
    </row>
    <row r="64" spans="1:5" ht="16.5" hidden="1" thickBot="1" x14ac:dyDescent="0.3">
      <c r="A64" s="104" t="s">
        <v>284</v>
      </c>
      <c r="B64" s="229">
        <v>0</v>
      </c>
      <c r="C64" s="114">
        <v>100</v>
      </c>
      <c r="D64" s="95">
        <v>2</v>
      </c>
      <c r="E64" s="77">
        <v>1</v>
      </c>
    </row>
    <row r="65" spans="1:4" s="79" customFormat="1" ht="16.5" hidden="1" thickBot="1" x14ac:dyDescent="0.3">
      <c r="A65" s="104" t="s">
        <v>285</v>
      </c>
      <c r="B65" s="229">
        <v>0</v>
      </c>
      <c r="C65" s="115">
        <v>100</v>
      </c>
      <c r="D65" s="108">
        <f>650/1.18</f>
        <v>550.84745762711873</v>
      </c>
    </row>
    <row r="66" spans="1:4" ht="16.5" thickBot="1" x14ac:dyDescent="0.3">
      <c r="A66" s="116" t="s">
        <v>286</v>
      </c>
      <c r="B66" s="208">
        <f>SUM(B67:B74)</f>
        <v>278158.00864655123</v>
      </c>
      <c r="C66" s="89"/>
      <c r="D66" s="93"/>
    </row>
    <row r="67" spans="1:4" ht="16.5" hidden="1" thickBot="1" x14ac:dyDescent="0.3">
      <c r="A67" s="104" t="s">
        <v>287</v>
      </c>
      <c r="B67" s="23">
        <v>0</v>
      </c>
      <c r="C67" s="98"/>
      <c r="D67" s="108"/>
    </row>
    <row r="68" spans="1:4" ht="16.5" thickBot="1" x14ac:dyDescent="0.3">
      <c r="A68" s="104" t="s">
        <v>288</v>
      </c>
      <c r="B68" s="23">
        <f>95859*1.04*1.1194</f>
        <v>111596.74718399999</v>
      </c>
      <c r="C68" s="89"/>
      <c r="D68" s="93"/>
    </row>
    <row r="69" spans="1:4" ht="15.75" hidden="1" x14ac:dyDescent="0.25">
      <c r="A69" s="104" t="s">
        <v>289</v>
      </c>
      <c r="B69" s="23">
        <v>0</v>
      </c>
      <c r="C69" s="98"/>
      <c r="D69" s="108"/>
    </row>
    <row r="70" spans="1:4" ht="16.5" thickBot="1" x14ac:dyDescent="0.3">
      <c r="A70" s="109" t="s">
        <v>290</v>
      </c>
      <c r="B70" s="23">
        <f>'[3]34тарифы'!D164*B13*1.1194</f>
        <v>5612.2263364038527</v>
      </c>
      <c r="C70" s="93"/>
      <c r="D70" s="108"/>
    </row>
    <row r="71" spans="1:4" ht="15.75" x14ac:dyDescent="0.25">
      <c r="A71" s="109" t="s">
        <v>291</v>
      </c>
      <c r="B71" s="23">
        <f>VLOOKUP(A71,[2]Лист1!S$1:T$65536,2,FALSE)*B15</f>
        <v>21032.217223845681</v>
      </c>
      <c r="C71" s="117"/>
      <c r="D71" s="93"/>
    </row>
    <row r="72" spans="1:4" ht="15.75" x14ac:dyDescent="0.25">
      <c r="A72" s="109" t="s">
        <v>292</v>
      </c>
      <c r="B72" s="23">
        <f>VLOOKUP(A72,[2]Лист1!S$1:T$65536,2,FALSE)*B15</f>
        <v>73419.6928403817</v>
      </c>
      <c r="C72" s="108"/>
      <c r="D72" s="93"/>
    </row>
    <row r="73" spans="1:4" ht="15.75" x14ac:dyDescent="0.25">
      <c r="A73" s="41" t="s">
        <v>293</v>
      </c>
      <c r="B73" s="23">
        <f>7881*1.04*1.1194</f>
        <v>9174.871056</v>
      </c>
      <c r="C73" s="108"/>
      <c r="D73" s="93"/>
    </row>
    <row r="74" spans="1:4" ht="15.75" x14ac:dyDescent="0.25">
      <c r="A74" s="109" t="s">
        <v>294</v>
      </c>
      <c r="B74" s="23">
        <f>(66546.17*1.04-18000)*1.1194</f>
        <v>57322.254005919996</v>
      </c>
      <c r="C74" s="108"/>
      <c r="D74" s="93">
        <v>69208.016799999998</v>
      </c>
    </row>
    <row r="75" spans="1:4" ht="47.25" x14ac:dyDescent="0.25">
      <c r="A75" s="118" t="s">
        <v>328</v>
      </c>
      <c r="B75" s="208">
        <f>B76</f>
        <v>154682.61008533026</v>
      </c>
      <c r="C75" s="108"/>
      <c r="D75" s="93">
        <v>138183.50016556215</v>
      </c>
    </row>
    <row r="76" spans="1:4" s="79" customFormat="1" ht="15.75" x14ac:dyDescent="0.25">
      <c r="A76" s="109" t="s">
        <v>296</v>
      </c>
      <c r="B76" s="23">
        <f>'[3]34ОЭР'!D202*1.1194</f>
        <v>154682.61008533026</v>
      </c>
      <c r="C76" s="108"/>
      <c r="D76" s="93"/>
    </row>
    <row r="77" spans="1:4" ht="15.75" x14ac:dyDescent="0.25">
      <c r="A77" s="116" t="s">
        <v>297</v>
      </c>
      <c r="B77" s="208">
        <f>SUM(B78:B81)</f>
        <v>141582.28330653952</v>
      </c>
      <c r="C77" s="108"/>
      <c r="D77" s="93"/>
    </row>
    <row r="78" spans="1:4" ht="32.25" thickBot="1" x14ac:dyDescent="0.3">
      <c r="A78" s="119" t="s">
        <v>329</v>
      </c>
      <c r="B78" s="23">
        <f>'[3]34тарифы'!D170*B15*1.1194</f>
        <v>109692.60437748037</v>
      </c>
      <c r="C78" s="96"/>
      <c r="D78" s="93"/>
    </row>
    <row r="79" spans="1:4" ht="16.5" hidden="1" thickBot="1" x14ac:dyDescent="0.3">
      <c r="A79" s="51" t="s">
        <v>299</v>
      </c>
      <c r="B79" s="23">
        <f>(B26/1.2)*30%</f>
        <v>0</v>
      </c>
      <c r="C79" s="98"/>
      <c r="D79" s="108"/>
    </row>
    <row r="80" spans="1:4" ht="15.75" x14ac:dyDescent="0.25">
      <c r="A80" s="120" t="s">
        <v>330</v>
      </c>
      <c r="B80" s="23">
        <f>13354.8+8543.7</f>
        <v>21898.5</v>
      </c>
      <c r="C80" s="117"/>
      <c r="D80" s="93"/>
    </row>
    <row r="81" spans="1:4" ht="15.75" x14ac:dyDescent="0.25">
      <c r="A81" s="120" t="s">
        <v>331</v>
      </c>
      <c r="B81" s="23">
        <f>'[3]34тарифы'!D173*B13*1.1194</f>
        <v>9991.1789290591605</v>
      </c>
      <c r="C81" s="108"/>
      <c r="D81" s="93"/>
    </row>
    <row r="82" spans="1:4" ht="15.75" x14ac:dyDescent="0.25">
      <c r="A82" s="121" t="s">
        <v>302</v>
      </c>
      <c r="B82" s="28">
        <f>B32+B42+B46+B66+B75+B77</f>
        <v>771283.44381354796</v>
      </c>
      <c r="C82" s="108"/>
      <c r="D82" s="93"/>
    </row>
    <row r="83" spans="1:4" s="103" customFormat="1" ht="15.75" x14ac:dyDescent="0.25">
      <c r="A83" s="122" t="s">
        <v>303</v>
      </c>
      <c r="B83" s="23">
        <f>B82*0.03</f>
        <v>23138.503314406436</v>
      </c>
      <c r="C83" s="108"/>
      <c r="D83" s="93"/>
    </row>
    <row r="84" spans="1:4" ht="15.75" x14ac:dyDescent="0.25">
      <c r="A84" s="123" t="s">
        <v>304</v>
      </c>
      <c r="B84" s="208">
        <f>B82+B83</f>
        <v>794421.94712795434</v>
      </c>
      <c r="C84" s="108"/>
      <c r="D84" s="93"/>
    </row>
    <row r="85" spans="1:4" s="79" customFormat="1" ht="16.5" thickBot="1" x14ac:dyDescent="0.3">
      <c r="A85" s="124" t="s">
        <v>305</v>
      </c>
      <c r="B85" s="240">
        <f>B84*0.2</f>
        <v>158884.38942559087</v>
      </c>
      <c r="C85" s="108"/>
      <c r="D85" s="93"/>
    </row>
    <row r="86" spans="1:4" s="79" customFormat="1" ht="16.5" thickBot="1" x14ac:dyDescent="0.3">
      <c r="A86" s="125" t="s">
        <v>306</v>
      </c>
      <c r="B86" s="66">
        <f>B84+B85</f>
        <v>953306.3365535452</v>
      </c>
      <c r="C86" s="89"/>
      <c r="D86" s="126"/>
    </row>
    <row r="87" spans="1:4" s="79" customFormat="1" ht="16.5" thickBot="1" x14ac:dyDescent="0.3">
      <c r="A87" s="127" t="s">
        <v>307</v>
      </c>
      <c r="B87" s="296">
        <f>B10+B24+B26+B28+B29-B86</f>
        <v>-289559.4565535452</v>
      </c>
      <c r="C87" s="128"/>
      <c r="D87" s="129"/>
    </row>
    <row r="88" spans="1:4" s="79" customFormat="1" ht="16.5" thickBot="1" x14ac:dyDescent="0.3">
      <c r="A88" s="130" t="s">
        <v>308</v>
      </c>
      <c r="B88" s="66">
        <f>B10+B25+B27+B28+B29-B86</f>
        <v>-240005.39655354538</v>
      </c>
      <c r="C88" s="131"/>
      <c r="D88" s="129"/>
    </row>
    <row r="89" spans="1:4" s="79" customFormat="1" ht="16.5" hidden="1" thickBot="1" x14ac:dyDescent="0.3">
      <c r="A89" s="132" t="s">
        <v>309</v>
      </c>
      <c r="B89" s="66">
        <f>B11+B24-B25</f>
        <v>-49554.059999999823</v>
      </c>
      <c r="C89" s="129"/>
      <c r="D89" s="129"/>
    </row>
    <row r="90" spans="1:4" ht="15.75" x14ac:dyDescent="0.25">
      <c r="A90" s="133"/>
      <c r="B90" s="242"/>
      <c r="C90" s="129"/>
      <c r="D90" s="129"/>
    </row>
    <row r="91" spans="1:4" ht="15.75" x14ac:dyDescent="0.25">
      <c r="A91" s="134"/>
      <c r="B91" s="3"/>
      <c r="C91" s="77"/>
      <c r="D91" s="77"/>
    </row>
    <row r="92" spans="1:4" ht="15.75" x14ac:dyDescent="0.25">
      <c r="A92" s="323" t="s">
        <v>332</v>
      </c>
      <c r="B92" s="323"/>
      <c r="C92" s="77"/>
      <c r="D92" s="77"/>
    </row>
    <row r="93" spans="1:4" ht="15.75" x14ac:dyDescent="0.25">
      <c r="A93" s="134"/>
      <c r="B93" s="3"/>
      <c r="C93" s="77"/>
      <c r="D93" s="77"/>
    </row>
    <row r="94" spans="1:4" ht="15.75" hidden="1" x14ac:dyDescent="0.25">
      <c r="A94" s="324" t="s">
        <v>333</v>
      </c>
      <c r="B94" s="324"/>
      <c r="C94" s="135"/>
      <c r="D94" s="77"/>
    </row>
    <row r="95" spans="1:4" ht="15.75" x14ac:dyDescent="0.25">
      <c r="A95" s="77"/>
      <c r="B95" s="3"/>
      <c r="C95" s="77"/>
      <c r="D95" s="77"/>
    </row>
  </sheetData>
  <autoFilter ref="A31:G89" xr:uid="{00000000-0009-0000-0000-000041000000}">
    <filterColumn colId="1">
      <filters>
        <filter val="10 064,00"/>
        <filter val="109 692,60"/>
        <filter val="11 509,89"/>
        <filter val="111 596,75"/>
        <filter val="12 635,40"/>
        <filter val="129 389,53"/>
        <filter val="145 124,63"/>
        <filter val="154 682,61"/>
        <filter val="16 050,54"/>
        <filter val="-164 126,22"/>
        <filter val="165 688,18"/>
        <filter val="21 000,00"/>
        <filter val="21 032,22"/>
        <filter val="-213 680,28"/>
        <filter val="24 129,35"/>
        <filter val="25 440,85"/>
        <filter val="27 614,43"/>
        <filter val="278 158,01"/>
        <filter val="28 252,53"/>
        <filter val="38 141,91"/>
        <filter val="40 656,40"/>
        <filter val="-49 554,06"/>
        <filter val="5 314,20"/>
        <filter val="5 612,23"/>
        <filter val="57 322,25"/>
        <filter val="6 453,00"/>
        <filter val="608,00"/>
        <filter val="69 342,34"/>
        <filter val="7 200,00"/>
        <filter val="73 419,69"/>
        <filter val="804 311,54"/>
        <filter val="828 440,89"/>
        <filter val="846,00"/>
        <filter val="9 174,87"/>
        <filter val="9 991,18"/>
        <filter val="994 129,07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80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filterMode="1">
    <pageSetUpPr fitToPage="1"/>
  </sheetPr>
  <dimension ref="A1:G95"/>
  <sheetViews>
    <sheetView view="pageBreakPreview" topLeftCell="A37" zoomScale="80" zoomScaleNormal="100" zoomScaleSheetLayoutView="80" workbookViewId="0">
      <selection activeCell="B81" sqref="B81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25" t="s">
        <v>224</v>
      </c>
      <c r="B1" s="325"/>
      <c r="C1" s="77"/>
      <c r="D1" s="77"/>
    </row>
    <row r="2" spans="1:4" ht="16.5" x14ac:dyDescent="0.25">
      <c r="A2" s="326" t="s">
        <v>225</v>
      </c>
      <c r="B2" s="326"/>
      <c r="C2" s="77"/>
      <c r="D2" s="77"/>
    </row>
    <row r="3" spans="1:4" ht="16.5" x14ac:dyDescent="0.25">
      <c r="A3" s="326" t="s">
        <v>226</v>
      </c>
      <c r="B3" s="326"/>
      <c r="C3" s="77"/>
      <c r="D3" s="77"/>
    </row>
    <row r="4" spans="1:4" ht="15.75" x14ac:dyDescent="0.25">
      <c r="A4" s="78" t="s">
        <v>516</v>
      </c>
      <c r="B4" s="78"/>
      <c r="C4" s="77"/>
      <c r="D4" s="77"/>
    </row>
    <row r="5" spans="1:4" ht="15.75" x14ac:dyDescent="0.25">
      <c r="A5" s="78" t="s">
        <v>176</v>
      </c>
      <c r="B5" s="78"/>
      <c r="C5" s="77"/>
      <c r="D5" s="77"/>
    </row>
    <row r="6" spans="1:4" ht="5.25" customHeight="1" x14ac:dyDescent="0.25">
      <c r="A6" s="78"/>
      <c r="B6" s="8"/>
      <c r="C6" s="79"/>
      <c r="D6" s="77"/>
    </row>
    <row r="7" spans="1:4" ht="16.5" thickBot="1" x14ac:dyDescent="0.3">
      <c r="A7" s="80"/>
      <c r="B7" s="8"/>
      <c r="C7" s="79"/>
      <c r="D7" s="77"/>
    </row>
    <row r="8" spans="1:4" ht="15.75" customHeight="1" x14ac:dyDescent="0.2">
      <c r="A8" s="327" t="s">
        <v>227</v>
      </c>
      <c r="B8" s="329" t="s">
        <v>228</v>
      </c>
      <c r="C8" s="331" t="s">
        <v>229</v>
      </c>
      <c r="D8" s="321" t="s">
        <v>230</v>
      </c>
    </row>
    <row r="9" spans="1:4" ht="28.5" customHeight="1" thickBot="1" x14ac:dyDescent="0.25">
      <c r="A9" s="328"/>
      <c r="B9" s="330"/>
      <c r="C9" s="332"/>
      <c r="D9" s="322"/>
    </row>
    <row r="10" spans="1:4" ht="16.5" thickBot="1" x14ac:dyDescent="0.25">
      <c r="A10" s="81" t="s">
        <v>231</v>
      </c>
      <c r="B10" s="302">
        <f>VLOOKUP(A5,мкд!S:T,2,FALSE)</f>
        <v>-154471.32999999999</v>
      </c>
      <c r="C10" s="83"/>
      <c r="D10" s="84"/>
    </row>
    <row r="11" spans="1:4" ht="16.5" hidden="1" thickBot="1" x14ac:dyDescent="0.25">
      <c r="A11" s="85" t="s">
        <v>232</v>
      </c>
      <c r="B11" s="210"/>
      <c r="C11" s="84"/>
      <c r="D11" s="86"/>
    </row>
    <row r="12" spans="1:4" ht="16.5" thickBot="1" x14ac:dyDescent="0.3">
      <c r="A12" s="87" t="s">
        <v>233</v>
      </c>
      <c r="B12" s="217"/>
      <c r="C12" s="89" t="s">
        <v>234</v>
      </c>
      <c r="D12" s="90" t="s">
        <v>234</v>
      </c>
    </row>
    <row r="13" spans="1:4" ht="16.5" hidden="1" thickBot="1" x14ac:dyDescent="0.3">
      <c r="A13" s="91" t="s">
        <v>235</v>
      </c>
      <c r="B13" s="23">
        <v>1645.6</v>
      </c>
      <c r="C13" s="90" t="s">
        <v>234</v>
      </c>
      <c r="D13" s="92" t="s">
        <v>234</v>
      </c>
    </row>
    <row r="14" spans="1:4" ht="16.5" hidden="1" thickBot="1" x14ac:dyDescent="0.3">
      <c r="A14" s="91" t="s">
        <v>236</v>
      </c>
      <c r="B14" s="23">
        <v>128</v>
      </c>
      <c r="C14" s="93"/>
      <c r="D14" s="92"/>
    </row>
    <row r="15" spans="1:4" ht="15.75" x14ac:dyDescent="0.25">
      <c r="A15" s="91" t="s">
        <v>237</v>
      </c>
      <c r="B15" s="23">
        <f>B13+B14</f>
        <v>1773.6</v>
      </c>
      <c r="C15" s="94"/>
      <c r="D15" s="95"/>
    </row>
    <row r="16" spans="1:4" ht="16.5" thickBot="1" x14ac:dyDescent="0.3">
      <c r="A16" s="91" t="s">
        <v>238</v>
      </c>
      <c r="B16" s="23">
        <f>868+1052/3</f>
        <v>1218.6666666666667</v>
      </c>
      <c r="C16" s="96" t="s">
        <v>234</v>
      </c>
      <c r="D16" s="95" t="s">
        <v>234</v>
      </c>
    </row>
    <row r="17" spans="1:7" ht="16.5" hidden="1" thickBot="1" x14ac:dyDescent="0.3">
      <c r="A17" s="91" t="s">
        <v>239</v>
      </c>
      <c r="B17" s="23">
        <v>0</v>
      </c>
      <c r="C17" s="90" t="s">
        <v>234</v>
      </c>
      <c r="D17" s="92" t="s">
        <v>234</v>
      </c>
      <c r="E17" s="77"/>
      <c r="F17" s="77"/>
      <c r="G17" s="77"/>
    </row>
    <row r="18" spans="1:7" ht="16.5" hidden="1" thickBot="1" x14ac:dyDescent="0.3">
      <c r="A18" s="91" t="s">
        <v>240</v>
      </c>
      <c r="B18" s="23">
        <v>456</v>
      </c>
      <c r="C18" s="95" t="s">
        <v>234</v>
      </c>
      <c r="D18" s="92" t="s">
        <v>234</v>
      </c>
      <c r="E18" s="77"/>
      <c r="F18" s="77"/>
      <c r="G18" s="77"/>
    </row>
    <row r="19" spans="1:7" ht="16.5" hidden="1" thickBot="1" x14ac:dyDescent="0.3">
      <c r="A19" s="91" t="s">
        <v>241</v>
      </c>
      <c r="B19" s="23">
        <v>0</v>
      </c>
      <c r="C19" s="95" t="s">
        <v>234</v>
      </c>
      <c r="D19" s="92" t="s">
        <v>234</v>
      </c>
      <c r="E19" s="77"/>
      <c r="F19" s="77"/>
      <c r="G19" s="77"/>
    </row>
    <row r="20" spans="1:7" ht="16.5" hidden="1" thickBot="1" x14ac:dyDescent="0.3">
      <c r="A20" s="91" t="s">
        <v>242</v>
      </c>
      <c r="B20" s="23">
        <v>659</v>
      </c>
      <c r="C20" s="95"/>
      <c r="D20" s="92"/>
      <c r="E20" s="77"/>
      <c r="F20" s="77"/>
      <c r="G20" s="77"/>
    </row>
    <row r="21" spans="1:7" ht="16.5" hidden="1" thickBot="1" x14ac:dyDescent="0.3">
      <c r="A21" s="91" t="s">
        <v>243</v>
      </c>
      <c r="B21" s="23">
        <v>0</v>
      </c>
      <c r="C21" s="95" t="s">
        <v>234</v>
      </c>
      <c r="D21" s="92" t="s">
        <v>234</v>
      </c>
      <c r="E21" s="77"/>
      <c r="F21" s="77"/>
      <c r="G21" s="77"/>
    </row>
    <row r="22" spans="1:7" ht="16.5" hidden="1" thickBot="1" x14ac:dyDescent="0.3">
      <c r="A22" s="91" t="s">
        <v>244</v>
      </c>
      <c r="B22" s="23">
        <v>98</v>
      </c>
      <c r="C22" s="93"/>
      <c r="D22" s="92"/>
      <c r="E22" s="77"/>
      <c r="F22" s="77"/>
      <c r="G22" s="77"/>
    </row>
    <row r="23" spans="1:7" ht="15.75" x14ac:dyDescent="0.25">
      <c r="A23" s="91"/>
      <c r="B23" s="23"/>
      <c r="C23" s="94"/>
      <c r="D23" s="95"/>
      <c r="E23" s="77"/>
      <c r="F23" s="77"/>
      <c r="G23" s="77"/>
    </row>
    <row r="24" spans="1:7" ht="15.75" x14ac:dyDescent="0.25">
      <c r="A24" s="97" t="s">
        <v>319</v>
      </c>
      <c r="B24" s="28">
        <f>VLOOKUP(A5,[2]Лист1!M$1:N$65536,2,FALSE)</f>
        <v>404719.56</v>
      </c>
      <c r="C24" s="92"/>
      <c r="D24" s="95"/>
      <c r="E24" s="26">
        <v>20.49</v>
      </c>
      <c r="F24" s="77"/>
      <c r="G24" s="77"/>
    </row>
    <row r="25" spans="1:7" ht="16.5" thickBot="1" x14ac:dyDescent="0.3">
      <c r="A25" s="97" t="s">
        <v>320</v>
      </c>
      <c r="B25" s="28">
        <f>VLOOKUP(A5,[2]Лист1!M$1:O$65536,3,FALSE)</f>
        <v>436243.68</v>
      </c>
      <c r="C25" s="96"/>
      <c r="D25" s="95"/>
      <c r="E25" s="77"/>
      <c r="F25" s="77"/>
      <c r="G25" s="77"/>
    </row>
    <row r="26" spans="1:7" ht="15.75" x14ac:dyDescent="0.25">
      <c r="A26" s="97" t="s">
        <v>353</v>
      </c>
      <c r="B26" s="28">
        <v>31472.639999999999</v>
      </c>
      <c r="C26" s="90"/>
      <c r="D26" s="92"/>
      <c r="E26" s="77"/>
      <c r="F26" s="77"/>
      <c r="G26" s="77"/>
    </row>
    <row r="27" spans="1:7" ht="16.5" thickBot="1" x14ac:dyDescent="0.3">
      <c r="A27" s="97" t="s">
        <v>354</v>
      </c>
      <c r="B27" s="28">
        <v>7214.13</v>
      </c>
      <c r="C27" s="93"/>
      <c r="D27" s="92"/>
      <c r="E27" s="77"/>
      <c r="F27" s="77"/>
      <c r="G27" s="77"/>
    </row>
    <row r="28" spans="1:7" ht="16.5" thickBot="1" x14ac:dyDescent="0.3">
      <c r="A28" s="97" t="s">
        <v>249</v>
      </c>
      <c r="B28" s="28">
        <v>7611.96</v>
      </c>
      <c r="C28" s="89"/>
      <c r="D28" s="95"/>
      <c r="E28" s="77"/>
      <c r="F28" s="77"/>
      <c r="G28" s="77"/>
    </row>
    <row r="29" spans="1:7" ht="16.5" hidden="1" thickBot="1" x14ac:dyDescent="0.3">
      <c r="A29" s="97" t="s">
        <v>250</v>
      </c>
      <c r="B29" s="28"/>
      <c r="C29" s="98"/>
      <c r="D29" s="92"/>
      <c r="E29" s="77"/>
      <c r="F29" s="77"/>
      <c r="G29" s="77"/>
    </row>
    <row r="30" spans="1:7" ht="15.75" x14ac:dyDescent="0.25">
      <c r="A30" s="99"/>
      <c r="B30" s="23"/>
      <c r="C30" s="94"/>
      <c r="D30" s="95"/>
      <c r="E30" s="77"/>
      <c r="F30" s="77"/>
      <c r="G30" s="77"/>
    </row>
    <row r="31" spans="1:7" ht="15.75" x14ac:dyDescent="0.25">
      <c r="A31" s="100" t="s">
        <v>251</v>
      </c>
      <c r="B31" s="23"/>
      <c r="C31" s="92"/>
      <c r="D31" s="95"/>
      <c r="E31" s="77"/>
      <c r="F31" s="77"/>
      <c r="G31" s="77"/>
    </row>
    <row r="32" spans="1:7" s="103" customFormat="1" ht="31.5" x14ac:dyDescent="0.25">
      <c r="A32" s="101" t="s">
        <v>252</v>
      </c>
      <c r="B32" s="208">
        <f>SUM(B33:B41)</f>
        <v>132572.17419999998</v>
      </c>
      <c r="C32" s="92"/>
      <c r="D32" s="95"/>
      <c r="E32" s="102">
        <f>(B86-B26-B24)/1.2/1.03</f>
        <v>80080.578437584612</v>
      </c>
      <c r="F32" s="102" t="e">
        <f>(#REF!-#REF!-#REF!)/1.2/1.03</f>
        <v>#REF!</v>
      </c>
      <c r="G32" s="102" t="e">
        <f>(#REF!-#REF!-#REF!)/1.2/1.03</f>
        <v>#REF!</v>
      </c>
    </row>
    <row r="33" spans="1:7" ht="16.5" thickBot="1" x14ac:dyDescent="0.3">
      <c r="A33" s="104" t="s">
        <v>253</v>
      </c>
      <c r="B33" s="23">
        <f>17843*1.1194</f>
        <v>19973.4542</v>
      </c>
      <c r="C33" s="96"/>
      <c r="D33" s="95">
        <v>16148.4</v>
      </c>
      <c r="E33" s="77"/>
      <c r="F33" s="77"/>
      <c r="G33" s="77"/>
    </row>
    <row r="34" spans="1:7" ht="15.75" hidden="1" x14ac:dyDescent="0.25">
      <c r="A34" s="104" t="s">
        <v>322</v>
      </c>
      <c r="B34" s="23">
        <v>0</v>
      </c>
      <c r="C34" s="90"/>
      <c r="D34" s="92">
        <v>0</v>
      </c>
      <c r="E34" s="77"/>
      <c r="F34" s="77"/>
      <c r="G34" s="77"/>
    </row>
    <row r="35" spans="1:7" ht="15.75" hidden="1" x14ac:dyDescent="0.25">
      <c r="A35" s="104" t="s">
        <v>256</v>
      </c>
      <c r="B35" s="23">
        <v>0</v>
      </c>
      <c r="C35" s="95"/>
      <c r="D35" s="92">
        <v>0</v>
      </c>
      <c r="E35" s="77"/>
      <c r="F35" s="77"/>
      <c r="G35" s="77"/>
    </row>
    <row r="36" spans="1:7" ht="15.75" x14ac:dyDescent="0.25">
      <c r="A36" s="104" t="s">
        <v>255</v>
      </c>
      <c r="B36" s="23">
        <v>72320.75</v>
      </c>
      <c r="C36" s="95" t="s">
        <v>234</v>
      </c>
      <c r="D36" s="92">
        <v>0</v>
      </c>
      <c r="E36" s="77"/>
      <c r="F36" s="77"/>
      <c r="G36" s="77"/>
    </row>
    <row r="37" spans="1:7" ht="16.5" thickBot="1" x14ac:dyDescent="0.3">
      <c r="A37" s="104" t="s">
        <v>257</v>
      </c>
      <c r="B37" s="23">
        <v>40277.969999999979</v>
      </c>
      <c r="C37" s="95"/>
      <c r="D37" s="92">
        <v>0</v>
      </c>
      <c r="E37" s="77"/>
      <c r="F37" s="77"/>
      <c r="G37" s="77"/>
    </row>
    <row r="38" spans="1:7" ht="16.5" hidden="1" thickBot="1" x14ac:dyDescent="0.3">
      <c r="A38" s="104" t="s">
        <v>258</v>
      </c>
      <c r="B38" s="23">
        <v>0</v>
      </c>
      <c r="C38" s="95"/>
      <c r="D38" s="92">
        <v>0</v>
      </c>
      <c r="E38" s="77"/>
      <c r="F38" s="77"/>
      <c r="G38" s="77"/>
    </row>
    <row r="39" spans="1:7" ht="16.5" hidden="1" thickBot="1" x14ac:dyDescent="0.3">
      <c r="A39" s="104" t="s">
        <v>324</v>
      </c>
      <c r="B39" s="23">
        <v>0</v>
      </c>
      <c r="C39" s="95"/>
      <c r="D39" s="92">
        <v>0</v>
      </c>
      <c r="E39" s="77"/>
      <c r="F39" s="77"/>
      <c r="G39" s="77"/>
    </row>
    <row r="40" spans="1:7" ht="16.5" hidden="1" thickBot="1" x14ac:dyDescent="0.3">
      <c r="A40" s="104" t="s">
        <v>342</v>
      </c>
      <c r="B40" s="23">
        <v>0</v>
      </c>
      <c r="C40" s="95"/>
      <c r="D40" s="92"/>
      <c r="E40" s="77"/>
      <c r="F40" s="77"/>
      <c r="G40" s="77"/>
    </row>
    <row r="41" spans="1:7" ht="16.5" hidden="1" thickBot="1" x14ac:dyDescent="0.3">
      <c r="A41" s="104" t="s">
        <v>255</v>
      </c>
      <c r="B41" s="23">
        <v>0</v>
      </c>
      <c r="C41" s="93"/>
      <c r="D41" s="92"/>
      <c r="E41" s="77"/>
      <c r="F41" s="77"/>
      <c r="G41" s="77"/>
    </row>
    <row r="42" spans="1:7" s="103" customFormat="1" ht="48" thickBot="1" x14ac:dyDescent="0.3">
      <c r="A42" s="101" t="s">
        <v>325</v>
      </c>
      <c r="B42" s="208">
        <f>SUM(B43:B45)</f>
        <v>11037.388139477243</v>
      </c>
      <c r="C42" s="89"/>
      <c r="D42" s="95"/>
      <c r="E42" s="102"/>
      <c r="F42" s="102"/>
      <c r="G42" s="102"/>
    </row>
    <row r="43" spans="1:7" ht="15.75" hidden="1" x14ac:dyDescent="0.25">
      <c r="A43" s="104" t="s">
        <v>262</v>
      </c>
      <c r="B43" s="23"/>
      <c r="C43" s="98"/>
      <c r="D43" s="108"/>
      <c r="E43" s="77"/>
      <c r="F43" s="77"/>
      <c r="G43" s="77"/>
    </row>
    <row r="44" spans="1:7" ht="15.75" hidden="1" x14ac:dyDescent="0.25">
      <c r="A44" s="104" t="s">
        <v>263</v>
      </c>
      <c r="B44" s="23"/>
      <c r="C44" s="93"/>
      <c r="D44" s="108"/>
      <c r="E44" s="77"/>
      <c r="F44" s="77"/>
      <c r="G44" s="77"/>
    </row>
    <row r="45" spans="1:7" ht="16.5" thickBot="1" x14ac:dyDescent="0.3">
      <c r="A45" s="109" t="s">
        <v>264</v>
      </c>
      <c r="B45" s="23">
        <f>('[3]34тарифы'!D163*B15+450.32)*1.1194</f>
        <v>11037.388139477243</v>
      </c>
      <c r="C45" s="93"/>
      <c r="D45" s="108"/>
      <c r="E45" s="77"/>
      <c r="F45" s="77"/>
      <c r="G45" s="77"/>
    </row>
    <row r="46" spans="1:7" s="79" customFormat="1" ht="16.5" thickBot="1" x14ac:dyDescent="0.3">
      <c r="A46" s="101" t="s">
        <v>265</v>
      </c>
      <c r="B46" s="208">
        <f>SUM(B47:B65)</f>
        <v>45834.67</v>
      </c>
      <c r="C46" s="89"/>
      <c r="D46" s="95"/>
    </row>
    <row r="47" spans="1:7" ht="15.75" x14ac:dyDescent="0.25">
      <c r="A47" s="104" t="s">
        <v>326</v>
      </c>
      <c r="B47" s="283">
        <v>1915.2</v>
      </c>
      <c r="C47" s="90"/>
      <c r="D47" s="92"/>
      <c r="E47" s="77" t="s">
        <v>267</v>
      </c>
      <c r="F47" s="77"/>
      <c r="G47" s="77"/>
    </row>
    <row r="48" spans="1:7" ht="15.75" x14ac:dyDescent="0.25">
      <c r="A48" s="104" t="s">
        <v>317</v>
      </c>
      <c r="B48" s="283">
        <v>2325.6</v>
      </c>
      <c r="C48" s="95"/>
      <c r="D48" s="92"/>
      <c r="E48" s="77" t="s">
        <v>269</v>
      </c>
      <c r="F48" s="77"/>
      <c r="G48" s="77"/>
    </row>
    <row r="49" spans="1:5" ht="15.75" x14ac:dyDescent="0.25">
      <c r="A49" s="110" t="s">
        <v>282</v>
      </c>
      <c r="B49" s="23">
        <v>16.170000000000002</v>
      </c>
      <c r="C49" s="95"/>
      <c r="D49" s="92"/>
      <c r="E49" s="77"/>
    </row>
    <row r="50" spans="1:5" ht="15.75" x14ac:dyDescent="0.25">
      <c r="A50" s="110" t="s">
        <v>542</v>
      </c>
      <c r="B50" s="283">
        <v>4200</v>
      </c>
      <c r="C50" s="95"/>
      <c r="D50" s="92">
        <v>4190</v>
      </c>
      <c r="E50" s="77"/>
    </row>
    <row r="51" spans="1:5" ht="15.75" hidden="1" x14ac:dyDescent="0.25">
      <c r="A51" s="110" t="s">
        <v>347</v>
      </c>
      <c r="B51" s="23">
        <v>0</v>
      </c>
      <c r="C51" s="95"/>
      <c r="D51" s="92"/>
      <c r="E51" s="77"/>
    </row>
    <row r="52" spans="1:5" ht="15.75" x14ac:dyDescent="0.25">
      <c r="A52" s="110" t="s">
        <v>554</v>
      </c>
      <c r="B52" s="23">
        <v>15912</v>
      </c>
      <c r="C52" s="95"/>
      <c r="D52" s="92">
        <v>105.14</v>
      </c>
      <c r="E52" s="77"/>
    </row>
    <row r="53" spans="1:5" ht="15.75" hidden="1" x14ac:dyDescent="0.25">
      <c r="A53" s="110" t="s">
        <v>282</v>
      </c>
      <c r="B53" s="23">
        <v>0</v>
      </c>
      <c r="C53" s="95">
        <v>0</v>
      </c>
      <c r="D53" s="92">
        <v>522.99</v>
      </c>
      <c r="E53" s="77"/>
    </row>
    <row r="54" spans="1:5" ht="15.75" x14ac:dyDescent="0.25">
      <c r="A54" s="143" t="s">
        <v>359</v>
      </c>
      <c r="B54" s="23">
        <v>8133.61</v>
      </c>
      <c r="C54" s="95">
        <v>0</v>
      </c>
      <c r="D54" s="111">
        <v>695.13</v>
      </c>
      <c r="E54" s="77"/>
    </row>
    <row r="55" spans="1:5" ht="15.75" hidden="1" x14ac:dyDescent="0.25">
      <c r="A55" s="110" t="s">
        <v>276</v>
      </c>
      <c r="B55" s="23">
        <v>0</v>
      </c>
      <c r="C55" s="95"/>
      <c r="D55" s="111"/>
      <c r="E55" s="77"/>
    </row>
    <row r="56" spans="1:5" ht="15.75" hidden="1" x14ac:dyDescent="0.25">
      <c r="A56" s="110" t="s">
        <v>277</v>
      </c>
      <c r="B56" s="23">
        <v>0</v>
      </c>
      <c r="C56" s="95">
        <v>0</v>
      </c>
      <c r="D56" s="92">
        <f>10695.76/1.18</f>
        <v>9064.203389830509</v>
      </c>
      <c r="E56" s="77"/>
    </row>
    <row r="57" spans="1:5" ht="15.75" hidden="1" x14ac:dyDescent="0.25">
      <c r="A57" s="110" t="s">
        <v>314</v>
      </c>
      <c r="B57" s="23">
        <v>0</v>
      </c>
      <c r="C57" s="95">
        <v>0</v>
      </c>
      <c r="D57" s="92">
        <f>2300/1.18</f>
        <v>1949.1525423728815</v>
      </c>
      <c r="E57" s="77"/>
    </row>
    <row r="58" spans="1:5" ht="15.75" hidden="1" x14ac:dyDescent="0.25">
      <c r="A58" s="110" t="s">
        <v>315</v>
      </c>
      <c r="B58" s="23">
        <v>0</v>
      </c>
      <c r="C58" s="93">
        <v>0</v>
      </c>
      <c r="D58" s="92">
        <v>0</v>
      </c>
      <c r="E58" s="77"/>
    </row>
    <row r="59" spans="1:5" ht="16.5" hidden="1" thickBot="1" x14ac:dyDescent="0.3">
      <c r="A59" s="110" t="s">
        <v>279</v>
      </c>
      <c r="B59" s="23">
        <f>B13*'[3]34тарифы'!D184</f>
        <v>0</v>
      </c>
      <c r="C59" s="89"/>
      <c r="D59" s="95"/>
      <c r="E59" s="77"/>
    </row>
    <row r="60" spans="1:5" ht="15.75" hidden="1" x14ac:dyDescent="0.25">
      <c r="A60" s="104" t="s">
        <v>280</v>
      </c>
      <c r="B60" s="23">
        <v>0</v>
      </c>
      <c r="C60" s="90"/>
      <c r="D60" s="92"/>
      <c r="E60" s="77"/>
    </row>
    <row r="61" spans="1:5" ht="15.75" hidden="1" x14ac:dyDescent="0.25">
      <c r="A61" s="104" t="s">
        <v>281</v>
      </c>
      <c r="B61" s="23">
        <v>0</v>
      </c>
      <c r="C61" s="95"/>
      <c r="D61" s="92">
        <v>0</v>
      </c>
      <c r="E61" s="77"/>
    </row>
    <row r="62" spans="1:5" ht="15.75" hidden="1" x14ac:dyDescent="0.25">
      <c r="A62" s="104" t="s">
        <v>340</v>
      </c>
      <c r="B62" s="23">
        <v>0</v>
      </c>
      <c r="C62" s="95"/>
      <c r="D62" s="92">
        <v>0</v>
      </c>
      <c r="E62" s="77"/>
    </row>
    <row r="63" spans="1:5" ht="16.5" thickBot="1" x14ac:dyDescent="0.3">
      <c r="A63" s="104" t="s">
        <v>341</v>
      </c>
      <c r="B63" s="283">
        <v>13332.09</v>
      </c>
      <c r="C63" s="113">
        <v>1</v>
      </c>
      <c r="D63" s="92">
        <v>0</v>
      </c>
      <c r="E63" s="77"/>
    </row>
    <row r="64" spans="1:5" ht="16.5" hidden="1" thickBot="1" x14ac:dyDescent="0.3">
      <c r="A64" s="104" t="s">
        <v>284</v>
      </c>
      <c r="B64" s="229">
        <v>0</v>
      </c>
      <c r="C64" s="114">
        <v>37</v>
      </c>
      <c r="D64" s="95">
        <v>2</v>
      </c>
      <c r="E64" s="77">
        <v>1</v>
      </c>
    </row>
    <row r="65" spans="1:4" s="79" customFormat="1" ht="16.5" hidden="1" thickBot="1" x14ac:dyDescent="0.3">
      <c r="A65" s="104" t="s">
        <v>285</v>
      </c>
      <c r="B65" s="229">
        <v>0</v>
      </c>
      <c r="C65" s="115">
        <v>38</v>
      </c>
      <c r="D65" s="108">
        <f>650/1.18</f>
        <v>550.84745762711873</v>
      </c>
    </row>
    <row r="66" spans="1:4" ht="16.5" thickBot="1" x14ac:dyDescent="0.3">
      <c r="A66" s="116" t="s">
        <v>286</v>
      </c>
      <c r="B66" s="208">
        <f>SUM(B67:B74)</f>
        <v>124368.41756451241</v>
      </c>
      <c r="C66" s="89"/>
      <c r="D66" s="93"/>
    </row>
    <row r="67" spans="1:4" ht="16.5" hidden="1" thickBot="1" x14ac:dyDescent="0.3">
      <c r="A67" s="104" t="s">
        <v>287</v>
      </c>
      <c r="B67" s="23">
        <v>0</v>
      </c>
      <c r="C67" s="98"/>
      <c r="D67" s="108"/>
    </row>
    <row r="68" spans="1:4" ht="16.5" thickBot="1" x14ac:dyDescent="0.3">
      <c r="A68" s="104" t="s">
        <v>288</v>
      </c>
      <c r="B68" s="23">
        <f>44417*1.04*1.1194</f>
        <v>51709.205391999996</v>
      </c>
      <c r="C68" s="89"/>
      <c r="D68" s="93"/>
    </row>
    <row r="69" spans="1:4" ht="15.75" hidden="1" x14ac:dyDescent="0.25">
      <c r="A69" s="104" t="s">
        <v>289</v>
      </c>
      <c r="B69" s="23">
        <v>0</v>
      </c>
      <c r="C69" s="98"/>
      <c r="D69" s="108"/>
    </row>
    <row r="70" spans="1:4" ht="16.5" thickBot="1" x14ac:dyDescent="0.3">
      <c r="A70" s="109" t="s">
        <v>290</v>
      </c>
      <c r="B70" s="23">
        <f>'[3]34тарифы'!D164*B13*1.1194</f>
        <v>2030.8469652533595</v>
      </c>
      <c r="C70" s="93"/>
      <c r="D70" s="108"/>
    </row>
    <row r="71" spans="1:4" ht="15.75" x14ac:dyDescent="0.25">
      <c r="A71" s="109" t="s">
        <v>291</v>
      </c>
      <c r="B71" s="23">
        <f>VLOOKUP(A71,[2]Лист1!S$1:T$65536,2,FALSE)*B15</f>
        <v>8202.7312138738453</v>
      </c>
      <c r="C71" s="117"/>
      <c r="D71" s="93"/>
    </row>
    <row r="72" spans="1:4" ht="15.75" x14ac:dyDescent="0.25">
      <c r="A72" s="109" t="s">
        <v>292</v>
      </c>
      <c r="B72" s="23">
        <f>VLOOKUP(A72,[2]Лист1!S$1:T$65536,2,FALSE)*B15</f>
        <v>28634.261417385205</v>
      </c>
      <c r="C72" s="108"/>
      <c r="D72" s="93"/>
    </row>
    <row r="73" spans="1:4" ht="15.75" x14ac:dyDescent="0.25">
      <c r="A73" s="41" t="s">
        <v>293</v>
      </c>
      <c r="B73" s="23">
        <f>3073*1.04*1.1194</f>
        <v>3577.5128479999998</v>
      </c>
      <c r="C73" s="108"/>
      <c r="D73" s="93"/>
    </row>
    <row r="74" spans="1:4" ht="15.75" x14ac:dyDescent="0.25">
      <c r="A74" s="109" t="s">
        <v>294</v>
      </c>
      <c r="B74" s="23">
        <f>25953*1.04*1.1194</f>
        <v>30213.859728000003</v>
      </c>
      <c r="C74" s="108"/>
      <c r="D74" s="93"/>
    </row>
    <row r="75" spans="1:4" ht="47.25" x14ac:dyDescent="0.25">
      <c r="A75" s="118" t="s">
        <v>328</v>
      </c>
      <c r="B75" s="208">
        <f>SUM(B76:B76)</f>
        <v>55973.635138626843</v>
      </c>
      <c r="C75" s="108"/>
      <c r="D75" s="93"/>
    </row>
    <row r="76" spans="1:4" s="79" customFormat="1" ht="15.75" x14ac:dyDescent="0.25">
      <c r="A76" s="109" t="s">
        <v>296</v>
      </c>
      <c r="B76" s="23">
        <f>'[3]34ОЭР'!D203*1.1194</f>
        <v>55973.635138626843</v>
      </c>
      <c r="C76" s="108"/>
      <c r="D76" s="93"/>
    </row>
    <row r="77" spans="1:4" ht="15.75" x14ac:dyDescent="0.25">
      <c r="A77" s="116" t="s">
        <v>297</v>
      </c>
      <c r="B77" s="208">
        <f>SUM(B78:B81)</f>
        <v>63200.604074579758</v>
      </c>
      <c r="C77" s="108"/>
      <c r="D77" s="93"/>
    </row>
    <row r="78" spans="1:4" ht="32.25" thickBot="1" x14ac:dyDescent="0.3">
      <c r="A78" s="119" t="s">
        <v>329</v>
      </c>
      <c r="B78" s="23">
        <f>'[3]34тарифы'!D170*B15*1.1194</f>
        <v>42780.984062780182</v>
      </c>
      <c r="C78" s="96"/>
      <c r="D78" s="93"/>
    </row>
    <row r="79" spans="1:4" ht="16.5" thickBot="1" x14ac:dyDescent="0.3">
      <c r="A79" s="51" t="s">
        <v>299</v>
      </c>
      <c r="B79" s="23">
        <f>(B26/1.2)*30%</f>
        <v>7868.16</v>
      </c>
      <c r="C79" s="98"/>
      <c r="D79" s="108"/>
    </row>
    <row r="80" spans="1:4" ht="15.75" x14ac:dyDescent="0.25">
      <c r="A80" s="120" t="s">
        <v>330</v>
      </c>
      <c r="B80" s="23">
        <f>4938.33+3997.71</f>
        <v>8936.0400000000009</v>
      </c>
      <c r="C80" s="117"/>
      <c r="D80" s="93"/>
    </row>
    <row r="81" spans="1:4" ht="15.75" x14ac:dyDescent="0.25">
      <c r="A81" s="120" t="s">
        <v>331</v>
      </c>
      <c r="B81" s="23">
        <f>'[3]34тарифы'!D173*B13*1.1194</f>
        <v>3615.4200117995756</v>
      </c>
      <c r="C81" s="108"/>
      <c r="D81" s="93"/>
    </row>
    <row r="82" spans="1:4" ht="15.75" x14ac:dyDescent="0.25">
      <c r="A82" s="121" t="s">
        <v>302</v>
      </c>
      <c r="B82" s="28">
        <f>B32+B42+B46+B66+B75+B77</f>
        <v>432986.88911719626</v>
      </c>
      <c r="C82" s="108"/>
      <c r="D82" s="93"/>
    </row>
    <row r="83" spans="1:4" s="103" customFormat="1" ht="15.75" x14ac:dyDescent="0.25">
      <c r="A83" s="122" t="s">
        <v>303</v>
      </c>
      <c r="B83" s="23">
        <f>B82*0.03</f>
        <v>12989.606673515887</v>
      </c>
      <c r="C83" s="108"/>
      <c r="D83" s="93"/>
    </row>
    <row r="84" spans="1:4" ht="15.75" x14ac:dyDescent="0.25">
      <c r="A84" s="123" t="s">
        <v>304</v>
      </c>
      <c r="B84" s="208">
        <f>B82+B83</f>
        <v>445976.49579071213</v>
      </c>
      <c r="C84" s="108"/>
      <c r="D84" s="93"/>
    </row>
    <row r="85" spans="1:4" s="79" customFormat="1" ht="16.5" thickBot="1" x14ac:dyDescent="0.3">
      <c r="A85" s="124" t="s">
        <v>305</v>
      </c>
      <c r="B85" s="240">
        <f>B84*0.2</f>
        <v>89195.299158142428</v>
      </c>
      <c r="C85" s="108"/>
      <c r="D85" s="93"/>
    </row>
    <row r="86" spans="1:4" s="79" customFormat="1" ht="16.5" thickBot="1" x14ac:dyDescent="0.3">
      <c r="A86" s="125" t="s">
        <v>306</v>
      </c>
      <c r="B86" s="66">
        <f>B84+B85</f>
        <v>535171.7949488546</v>
      </c>
      <c r="C86" s="89"/>
      <c r="D86" s="126"/>
    </row>
    <row r="87" spans="1:4" s="79" customFormat="1" ht="16.5" thickBot="1" x14ac:dyDescent="0.3">
      <c r="A87" s="127" t="s">
        <v>307</v>
      </c>
      <c r="B87" s="296">
        <f>B10+B24+B26+B28+B29-B86</f>
        <v>-245838.96494885458</v>
      </c>
      <c r="C87" s="128"/>
      <c r="D87" s="129"/>
    </row>
    <row r="88" spans="1:4" s="79" customFormat="1" ht="16.5" thickBot="1" x14ac:dyDescent="0.3">
      <c r="A88" s="130" t="s">
        <v>308</v>
      </c>
      <c r="B88" s="66">
        <f>B10+B25+B27+B28+B29-B86</f>
        <v>-238573.3549488546</v>
      </c>
      <c r="C88" s="131"/>
      <c r="D88" s="129"/>
    </row>
    <row r="89" spans="1:4" s="79" customFormat="1" ht="16.5" hidden="1" thickBot="1" x14ac:dyDescent="0.3">
      <c r="A89" s="132" t="s">
        <v>309</v>
      </c>
      <c r="B89" s="66">
        <f>B11+B24-B25</f>
        <v>-31524.119999999995</v>
      </c>
      <c r="C89" s="129"/>
      <c r="D89" s="129"/>
    </row>
    <row r="90" spans="1:4" ht="15.75" x14ac:dyDescent="0.25">
      <c r="A90" s="133"/>
      <c r="B90" s="242"/>
      <c r="C90" s="129"/>
      <c r="D90" s="129"/>
    </row>
    <row r="91" spans="1:4" ht="15.75" x14ac:dyDescent="0.25">
      <c r="A91" s="134"/>
      <c r="B91" s="3"/>
      <c r="C91" s="77"/>
      <c r="D91" s="77"/>
    </row>
    <row r="92" spans="1:4" ht="15.75" x14ac:dyDescent="0.25">
      <c r="A92" s="323" t="s">
        <v>332</v>
      </c>
      <c r="B92" s="323"/>
      <c r="C92" s="77"/>
      <c r="D92" s="77"/>
    </row>
    <row r="93" spans="1:4" ht="15.75" x14ac:dyDescent="0.25">
      <c r="A93" s="134"/>
      <c r="B93" s="3"/>
      <c r="C93" s="77"/>
      <c r="D93" s="77"/>
    </row>
    <row r="94" spans="1:4" ht="15.75" hidden="1" x14ac:dyDescent="0.25">
      <c r="A94" s="324" t="s">
        <v>333</v>
      </c>
      <c r="B94" s="324"/>
      <c r="C94" s="135"/>
      <c r="D94" s="77"/>
    </row>
    <row r="95" spans="1:4" ht="15.75" x14ac:dyDescent="0.25">
      <c r="A95" s="77"/>
      <c r="B95" s="3"/>
      <c r="C95" s="77"/>
      <c r="D95" s="77"/>
    </row>
  </sheetData>
  <autoFilter ref="A31:G89" xr:uid="{00000000-0009-0000-0000-000042000000}">
    <filterColumn colId="1">
      <filters>
        <filter val="1 915,20"/>
        <filter val="11 037,39"/>
        <filter val="11 128,24"/>
        <filter val="11 509,89"/>
        <filter val="124 368,42"/>
        <filter val="13 843,81"/>
        <filter val="132 572,17"/>
        <filter val="-147 205,72"/>
        <filter val="-154 471,33"/>
        <filter val="19 197,67"/>
        <filter val="19 973,45"/>
        <filter val="2 030,85"/>
        <filter val="2 325,60"/>
        <filter val="23 940,26"/>
        <filter val="28 634,26"/>
        <filter val="3 577,51"/>
        <filter val="3 615,42"/>
        <filter val="3 723,68"/>
        <filter val="30 213,86"/>
        <filter val="-31 524,12"/>
        <filter val="40 277,97"/>
        <filter val="42 780,98"/>
        <filter val="461 460,18"/>
        <filter val="475 303,98"/>
        <filter val="51 709,21"/>
        <filter val="55 973,64"/>
        <filter val="570 364,78"/>
        <filter val="63 768,02"/>
        <filter val="7 868,16"/>
        <filter val="72 320,75"/>
        <filter val="73 740,54"/>
        <filter val="8 202,73"/>
        <filter val="9 503,46"/>
        <filter val="95 060,80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77"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filterMode="1">
    <pageSetUpPr fitToPage="1"/>
  </sheetPr>
  <dimension ref="A1:G95"/>
  <sheetViews>
    <sheetView view="pageBreakPreview" topLeftCell="A42" zoomScale="80" zoomScaleNormal="100" zoomScaleSheetLayoutView="80" workbookViewId="0">
      <selection activeCell="B81" sqref="B81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25" t="s">
        <v>224</v>
      </c>
      <c r="B1" s="325"/>
      <c r="C1" s="77"/>
      <c r="D1" s="77"/>
    </row>
    <row r="2" spans="1:4" ht="16.5" x14ac:dyDescent="0.25">
      <c r="A2" s="326" t="s">
        <v>225</v>
      </c>
      <c r="B2" s="326"/>
      <c r="C2" s="77"/>
      <c r="D2" s="77"/>
    </row>
    <row r="3" spans="1:4" ht="16.5" x14ac:dyDescent="0.25">
      <c r="A3" s="326" t="s">
        <v>226</v>
      </c>
      <c r="B3" s="326"/>
      <c r="C3" s="77"/>
      <c r="D3" s="77"/>
    </row>
    <row r="4" spans="1:4" ht="15.75" x14ac:dyDescent="0.25">
      <c r="A4" s="78" t="s">
        <v>516</v>
      </c>
      <c r="B4" s="78"/>
      <c r="C4" s="77"/>
      <c r="D4" s="77"/>
    </row>
    <row r="5" spans="1:4" ht="15.75" x14ac:dyDescent="0.25">
      <c r="A5" s="78" t="s">
        <v>177</v>
      </c>
      <c r="B5" s="78"/>
      <c r="C5" s="77"/>
      <c r="D5" s="77"/>
    </row>
    <row r="6" spans="1:4" ht="5.25" customHeight="1" x14ac:dyDescent="0.25">
      <c r="A6" s="78"/>
      <c r="B6" s="8"/>
      <c r="C6" s="79"/>
      <c r="D6" s="77"/>
    </row>
    <row r="7" spans="1:4" ht="16.5" thickBot="1" x14ac:dyDescent="0.3">
      <c r="A7" s="80"/>
      <c r="B7" s="8"/>
      <c r="C7" s="79"/>
      <c r="D7" s="77"/>
    </row>
    <row r="8" spans="1:4" ht="15.75" customHeight="1" x14ac:dyDescent="0.2">
      <c r="A8" s="327" t="s">
        <v>227</v>
      </c>
      <c r="B8" s="329" t="s">
        <v>228</v>
      </c>
      <c r="C8" s="331" t="s">
        <v>229</v>
      </c>
      <c r="D8" s="321" t="s">
        <v>230</v>
      </c>
    </row>
    <row r="9" spans="1:4" ht="28.5" customHeight="1" thickBot="1" x14ac:dyDescent="0.25">
      <c r="A9" s="328"/>
      <c r="B9" s="330"/>
      <c r="C9" s="332"/>
      <c r="D9" s="322"/>
    </row>
    <row r="10" spans="1:4" ht="16.5" thickBot="1" x14ac:dyDescent="0.25">
      <c r="A10" s="81" t="s">
        <v>231</v>
      </c>
      <c r="B10" s="302">
        <f>VLOOKUP(A5,мкд!S:T,2,FALSE)</f>
        <v>-694712.02</v>
      </c>
      <c r="C10" s="83"/>
      <c r="D10" s="84"/>
    </row>
    <row r="11" spans="1:4" ht="16.5" hidden="1" thickBot="1" x14ac:dyDescent="0.25">
      <c r="A11" s="85" t="s">
        <v>232</v>
      </c>
      <c r="B11" s="210"/>
      <c r="C11" s="84"/>
      <c r="D11" s="86"/>
    </row>
    <row r="12" spans="1:4" ht="16.5" thickBot="1" x14ac:dyDescent="0.3">
      <c r="A12" s="87" t="s">
        <v>233</v>
      </c>
      <c r="B12" s="217"/>
      <c r="C12" s="89" t="s">
        <v>234</v>
      </c>
      <c r="D12" s="90" t="s">
        <v>234</v>
      </c>
    </row>
    <row r="13" spans="1:4" ht="16.5" hidden="1" thickBot="1" x14ac:dyDescent="0.3">
      <c r="A13" s="91" t="s">
        <v>235</v>
      </c>
      <c r="B13" s="23">
        <v>2527.8000000000002</v>
      </c>
      <c r="C13" s="90" t="s">
        <v>234</v>
      </c>
      <c r="D13" s="92" t="s">
        <v>234</v>
      </c>
    </row>
    <row r="14" spans="1:4" ht="16.5" hidden="1" thickBot="1" x14ac:dyDescent="0.3">
      <c r="A14" s="91" t="s">
        <v>236</v>
      </c>
      <c r="B14" s="23">
        <v>0</v>
      </c>
      <c r="C14" s="93"/>
      <c r="D14" s="92"/>
    </row>
    <row r="15" spans="1:4" ht="16.5" hidden="1" thickBot="1" x14ac:dyDescent="0.3">
      <c r="A15" s="91" t="s">
        <v>237</v>
      </c>
      <c r="B15" s="23">
        <f>B13+B14</f>
        <v>2527.8000000000002</v>
      </c>
      <c r="C15" s="94"/>
      <c r="D15" s="95"/>
    </row>
    <row r="16" spans="1:4" ht="16.5" hidden="1" thickBot="1" x14ac:dyDescent="0.3">
      <c r="A16" s="91" t="s">
        <v>238</v>
      </c>
      <c r="B16" s="23">
        <f>1136.2+1726.5/3</f>
        <v>1711.7</v>
      </c>
      <c r="C16" s="96" t="s">
        <v>234</v>
      </c>
      <c r="D16" s="95" t="s">
        <v>234</v>
      </c>
    </row>
    <row r="17" spans="1:7" ht="16.5" hidden="1" thickBot="1" x14ac:dyDescent="0.3">
      <c r="A17" s="91" t="s">
        <v>239</v>
      </c>
      <c r="B17" s="23">
        <v>0</v>
      </c>
      <c r="C17" s="90" t="s">
        <v>234</v>
      </c>
      <c r="D17" s="92" t="s">
        <v>234</v>
      </c>
      <c r="E17" s="77"/>
      <c r="F17" s="77"/>
      <c r="G17" s="77"/>
    </row>
    <row r="18" spans="1:7" ht="16.5" hidden="1" thickBot="1" x14ac:dyDescent="0.3">
      <c r="A18" s="91" t="s">
        <v>240</v>
      </c>
      <c r="B18" s="23">
        <v>640</v>
      </c>
      <c r="C18" s="95" t="s">
        <v>234</v>
      </c>
      <c r="D18" s="92" t="s">
        <v>234</v>
      </c>
      <c r="E18" s="77"/>
      <c r="F18" s="77"/>
      <c r="G18" s="77"/>
    </row>
    <row r="19" spans="1:7" ht="16.5" hidden="1" thickBot="1" x14ac:dyDescent="0.3">
      <c r="A19" s="91" t="s">
        <v>241</v>
      </c>
      <c r="B19" s="23">
        <v>0</v>
      </c>
      <c r="C19" s="95" t="s">
        <v>234</v>
      </c>
      <c r="D19" s="92" t="s">
        <v>234</v>
      </c>
      <c r="E19" s="77"/>
      <c r="F19" s="77"/>
      <c r="G19" s="77"/>
    </row>
    <row r="20" spans="1:7" ht="16.5" hidden="1" thickBot="1" x14ac:dyDescent="0.3">
      <c r="A20" s="91" t="s">
        <v>242</v>
      </c>
      <c r="B20" s="23">
        <v>842.5</v>
      </c>
      <c r="C20" s="95"/>
      <c r="D20" s="92"/>
      <c r="E20" s="77"/>
      <c r="F20" s="77"/>
      <c r="G20" s="77"/>
    </row>
    <row r="21" spans="1:7" ht="16.5" hidden="1" thickBot="1" x14ac:dyDescent="0.3">
      <c r="A21" s="91" t="s">
        <v>243</v>
      </c>
      <c r="B21" s="23">
        <v>0</v>
      </c>
      <c r="C21" s="95" t="s">
        <v>234</v>
      </c>
      <c r="D21" s="92" t="s">
        <v>234</v>
      </c>
      <c r="E21" s="77"/>
      <c r="F21" s="77"/>
      <c r="G21" s="77"/>
    </row>
    <row r="22" spans="1:7" ht="16.5" hidden="1" thickBot="1" x14ac:dyDescent="0.3">
      <c r="A22" s="91" t="s">
        <v>244</v>
      </c>
      <c r="B22" s="23">
        <v>140</v>
      </c>
      <c r="C22" s="93"/>
      <c r="D22" s="92"/>
      <c r="E22" s="77"/>
      <c r="F22" s="77"/>
      <c r="G22" s="77"/>
    </row>
    <row r="23" spans="1:7" ht="15.75" x14ac:dyDescent="0.25">
      <c r="A23" s="91"/>
      <c r="B23" s="23"/>
      <c r="C23" s="94"/>
      <c r="D23" s="95"/>
      <c r="E23" s="77">
        <v>10</v>
      </c>
      <c r="F23" s="77">
        <v>2</v>
      </c>
      <c r="G23" s="77"/>
    </row>
    <row r="24" spans="1:7" ht="15.75" x14ac:dyDescent="0.25">
      <c r="A24" s="97" t="s">
        <v>319</v>
      </c>
      <c r="B24" s="28">
        <f>VLOOKUP(A5,[2]Лист1!M$1:N$65536,2,FALSE)</f>
        <v>446170.58</v>
      </c>
      <c r="C24" s="92"/>
      <c r="D24" s="95"/>
      <c r="E24" s="26">
        <v>14.649999999999999</v>
      </c>
      <c r="F24" s="256">
        <v>16.399209999999997</v>
      </c>
      <c r="G24" s="77"/>
    </row>
    <row r="25" spans="1:7" ht="16.5" thickBot="1" x14ac:dyDescent="0.3">
      <c r="A25" s="97" t="s">
        <v>320</v>
      </c>
      <c r="B25" s="28">
        <f>VLOOKUP(A5,[2]Лист1!M$1:O$65536,3,FALSE)</f>
        <v>431290.48</v>
      </c>
      <c r="C25" s="96"/>
      <c r="D25" s="95"/>
      <c r="E25" s="77"/>
      <c r="F25" s="77"/>
      <c r="G25" s="77"/>
    </row>
    <row r="26" spans="1:7" ht="15.75" x14ac:dyDescent="0.25">
      <c r="A26" s="97" t="s">
        <v>353</v>
      </c>
      <c r="B26" s="28">
        <v>7333.37</v>
      </c>
      <c r="C26" s="90"/>
      <c r="D26" s="92"/>
      <c r="E26" s="77"/>
      <c r="F26" s="77"/>
      <c r="G26" s="77"/>
    </row>
    <row r="27" spans="1:7" ht="16.5" thickBot="1" x14ac:dyDescent="0.3">
      <c r="A27" s="97" t="s">
        <v>354</v>
      </c>
      <c r="B27" s="28">
        <v>2155.42</v>
      </c>
      <c r="C27" s="93"/>
      <c r="D27" s="92"/>
      <c r="E27" s="77"/>
      <c r="F27" s="77"/>
      <c r="G27" s="77"/>
    </row>
    <row r="28" spans="1:7" ht="16.5" thickBot="1" x14ac:dyDescent="0.3">
      <c r="A28" s="97" t="s">
        <v>249</v>
      </c>
      <c r="B28" s="28">
        <v>7611.96</v>
      </c>
      <c r="C28" s="89"/>
      <c r="D28" s="95"/>
      <c r="E28" s="77"/>
      <c r="F28" s="77"/>
      <c r="G28" s="77"/>
    </row>
    <row r="29" spans="1:7" ht="16.5" hidden="1" thickBot="1" x14ac:dyDescent="0.3">
      <c r="A29" s="97" t="s">
        <v>250</v>
      </c>
      <c r="B29" s="28"/>
      <c r="C29" s="98"/>
      <c r="D29" s="92"/>
      <c r="E29" s="77"/>
      <c r="F29" s="77"/>
      <c r="G29" s="77"/>
    </row>
    <row r="30" spans="1:7" ht="15.75" x14ac:dyDescent="0.25">
      <c r="A30" s="99"/>
      <c r="B30" s="23"/>
      <c r="C30" s="94"/>
      <c r="D30" s="95"/>
      <c r="E30" s="77"/>
      <c r="F30" s="77"/>
      <c r="G30" s="77"/>
    </row>
    <row r="31" spans="1:7" ht="15.75" x14ac:dyDescent="0.25">
      <c r="A31" s="100" t="s">
        <v>251</v>
      </c>
      <c r="B31" s="23"/>
      <c r="C31" s="92"/>
      <c r="D31" s="95"/>
      <c r="E31" s="77"/>
      <c r="F31" s="77"/>
      <c r="G31" s="77"/>
    </row>
    <row r="32" spans="1:7" s="103" customFormat="1" ht="31.5" x14ac:dyDescent="0.25">
      <c r="A32" s="101" t="s">
        <v>252</v>
      </c>
      <c r="B32" s="208">
        <f>SUM(B33:B41)</f>
        <v>102735.29175021246</v>
      </c>
      <c r="C32" s="92"/>
      <c r="D32" s="95"/>
      <c r="E32" s="102">
        <f>(B86-B26-B24)/1.2/1.03</f>
        <v>196577.45152197554</v>
      </c>
      <c r="F32" s="102" t="e">
        <f>(#REF!-#REF!-#REF!)/1.2/1.03</f>
        <v>#REF!</v>
      </c>
      <c r="G32" s="102" t="e">
        <f>(#REF!-#REF!-#REF!)/1.2/1.03</f>
        <v>#REF!</v>
      </c>
    </row>
    <row r="33" spans="1:7" ht="16.5" thickBot="1" x14ac:dyDescent="0.3">
      <c r="A33" s="104" t="s">
        <v>253</v>
      </c>
      <c r="B33" s="23">
        <f>22196.44*1.1194</f>
        <v>24846.694935999996</v>
      </c>
      <c r="C33" s="96"/>
      <c r="D33" s="95">
        <v>18223.22</v>
      </c>
      <c r="E33" s="77"/>
      <c r="F33" s="77"/>
      <c r="G33" s="77"/>
    </row>
    <row r="34" spans="1:7" ht="15.75" hidden="1" x14ac:dyDescent="0.25">
      <c r="A34" s="104" t="s">
        <v>322</v>
      </c>
      <c r="B34" s="23">
        <v>0</v>
      </c>
      <c r="C34" s="90"/>
      <c r="D34" s="92">
        <v>0</v>
      </c>
      <c r="E34" s="77"/>
      <c r="F34" s="77"/>
      <c r="G34" s="77"/>
    </row>
    <row r="35" spans="1:7" ht="15.75" x14ac:dyDescent="0.25">
      <c r="A35" s="104" t="s">
        <v>256</v>
      </c>
      <c r="B35" s="23">
        <v>46385.36</v>
      </c>
      <c r="C35" s="95"/>
      <c r="D35" s="92">
        <v>0</v>
      </c>
      <c r="E35" s="77"/>
      <c r="F35" s="77"/>
      <c r="G35" s="77"/>
    </row>
    <row r="36" spans="1:7" ht="16.5" thickBot="1" x14ac:dyDescent="0.3">
      <c r="A36" s="104" t="s">
        <v>255</v>
      </c>
      <c r="B36" s="23">
        <v>31503.236814212469</v>
      </c>
      <c r="C36" s="95" t="s">
        <v>234</v>
      </c>
      <c r="D36" s="92">
        <v>0</v>
      </c>
      <c r="E36" s="77"/>
      <c r="F36" s="77"/>
      <c r="G36" s="77"/>
    </row>
    <row r="37" spans="1:7" ht="16.5" hidden="1" thickBot="1" x14ac:dyDescent="0.3">
      <c r="A37" s="104" t="s">
        <v>257</v>
      </c>
      <c r="B37" s="23">
        <v>0</v>
      </c>
      <c r="C37" s="95"/>
      <c r="D37" s="92">
        <v>0</v>
      </c>
      <c r="E37" s="77"/>
      <c r="F37" s="77"/>
      <c r="G37" s="77"/>
    </row>
    <row r="38" spans="1:7" ht="16.5" hidden="1" thickBot="1" x14ac:dyDescent="0.3">
      <c r="A38" s="104" t="s">
        <v>258</v>
      </c>
      <c r="B38" s="23">
        <v>0</v>
      </c>
      <c r="C38" s="95"/>
      <c r="D38" s="92">
        <v>0</v>
      </c>
      <c r="E38" s="77"/>
      <c r="F38" s="77"/>
      <c r="G38" s="77"/>
    </row>
    <row r="39" spans="1:7" ht="16.5" hidden="1" thickBot="1" x14ac:dyDescent="0.3">
      <c r="A39" s="104" t="s">
        <v>493</v>
      </c>
      <c r="B39" s="23">
        <v>0</v>
      </c>
      <c r="C39" s="95"/>
      <c r="D39" s="92">
        <v>0</v>
      </c>
      <c r="E39" s="77"/>
      <c r="F39" s="77"/>
      <c r="G39" s="77"/>
    </row>
    <row r="40" spans="1:7" ht="16.5" hidden="1" thickBot="1" x14ac:dyDescent="0.3">
      <c r="A40" s="104" t="s">
        <v>312</v>
      </c>
      <c r="B40" s="23">
        <v>0</v>
      </c>
      <c r="C40" s="95"/>
      <c r="D40" s="92"/>
      <c r="E40" s="77"/>
      <c r="F40" s="77"/>
      <c r="G40" s="77"/>
    </row>
    <row r="41" spans="1:7" ht="16.5" hidden="1" thickBot="1" x14ac:dyDescent="0.3">
      <c r="A41" s="104" t="s">
        <v>343</v>
      </c>
      <c r="B41" s="23">
        <v>0</v>
      </c>
      <c r="C41" s="93"/>
      <c r="D41" s="92"/>
      <c r="E41" s="77"/>
      <c r="F41" s="77"/>
      <c r="G41" s="77"/>
    </row>
    <row r="42" spans="1:7" s="103" customFormat="1" ht="48" thickBot="1" x14ac:dyDescent="0.3">
      <c r="A42" s="101" t="s">
        <v>325</v>
      </c>
      <c r="B42" s="208">
        <f>SUM(B43:B45)</f>
        <v>38498.260011982915</v>
      </c>
      <c r="C42" s="89"/>
      <c r="D42" s="95"/>
      <c r="E42" s="102"/>
      <c r="F42" s="102"/>
      <c r="G42" s="102"/>
    </row>
    <row r="43" spans="1:7" ht="15.75" x14ac:dyDescent="0.25">
      <c r="A43" s="104" t="s">
        <v>262</v>
      </c>
      <c r="B43" s="23">
        <v>2293.3200000000002</v>
      </c>
      <c r="C43" s="98"/>
      <c r="D43" s="108"/>
      <c r="E43" s="77"/>
      <c r="F43" s="77"/>
      <c r="G43" s="77"/>
    </row>
    <row r="44" spans="1:7" ht="15.75" x14ac:dyDescent="0.25">
      <c r="A44" s="104" t="s">
        <v>263</v>
      </c>
      <c r="B44" s="23">
        <v>20770.983185787511</v>
      </c>
      <c r="C44" s="93"/>
      <c r="D44" s="108"/>
      <c r="E44" s="77"/>
      <c r="F44" s="77"/>
      <c r="G44" s="77"/>
    </row>
    <row r="45" spans="1:7" ht="16.5" thickBot="1" x14ac:dyDescent="0.3">
      <c r="A45" s="109" t="s">
        <v>264</v>
      </c>
      <c r="B45" s="23">
        <f>('[3]34тарифы'!D163*B15+376.55)*1.1194</f>
        <v>15433.956826195408</v>
      </c>
      <c r="C45" s="93"/>
      <c r="D45" s="108"/>
      <c r="E45" s="77"/>
      <c r="F45" s="77"/>
      <c r="G45" s="77"/>
    </row>
    <row r="46" spans="1:7" s="79" customFormat="1" ht="16.5" thickBot="1" x14ac:dyDescent="0.3">
      <c r="A46" s="101" t="s">
        <v>265</v>
      </c>
      <c r="B46" s="208">
        <f>SUM(B47:B65)</f>
        <v>78611.399999999994</v>
      </c>
      <c r="C46" s="89"/>
      <c r="D46" s="95"/>
    </row>
    <row r="47" spans="1:7" ht="15.75" x14ac:dyDescent="0.25">
      <c r="A47" s="104" t="s">
        <v>326</v>
      </c>
      <c r="B47" s="283">
        <v>2688</v>
      </c>
      <c r="C47" s="90"/>
      <c r="D47" s="92"/>
      <c r="E47" s="77" t="s">
        <v>267</v>
      </c>
      <c r="F47" s="77"/>
      <c r="G47" s="77"/>
    </row>
    <row r="48" spans="1:7" ht="15.75" x14ac:dyDescent="0.25">
      <c r="A48" s="104" t="s">
        <v>317</v>
      </c>
      <c r="B48" s="283">
        <v>3264</v>
      </c>
      <c r="C48" s="95"/>
      <c r="D48" s="92"/>
      <c r="E48" s="77" t="s">
        <v>269</v>
      </c>
      <c r="F48" s="77"/>
      <c r="G48" s="77"/>
    </row>
    <row r="49" spans="1:5" ht="15.75" x14ac:dyDescent="0.25">
      <c r="A49" s="110" t="s">
        <v>282</v>
      </c>
      <c r="B49" s="23">
        <v>183.15</v>
      </c>
      <c r="C49" s="95"/>
      <c r="D49" s="92"/>
      <c r="E49" s="77"/>
    </row>
    <row r="50" spans="1:5" ht="15.75" hidden="1" x14ac:dyDescent="0.25">
      <c r="A50" s="110" t="s">
        <v>271</v>
      </c>
      <c r="B50" s="23">
        <v>0</v>
      </c>
      <c r="C50" s="95"/>
      <c r="D50" s="92">
        <v>4190</v>
      </c>
      <c r="E50" s="77"/>
    </row>
    <row r="51" spans="1:5" ht="15.75" hidden="1" x14ac:dyDescent="0.25">
      <c r="A51" s="110" t="s">
        <v>348</v>
      </c>
      <c r="B51" s="23"/>
      <c r="C51" s="95"/>
      <c r="D51" s="92"/>
      <c r="E51" s="77"/>
    </row>
    <row r="52" spans="1:5" ht="18" customHeight="1" x14ac:dyDescent="0.25">
      <c r="A52" s="110" t="s">
        <v>542</v>
      </c>
      <c r="B52" s="23">
        <v>4200</v>
      </c>
      <c r="C52" s="95"/>
      <c r="D52" s="92">
        <v>105.14</v>
      </c>
      <c r="E52" s="77"/>
    </row>
    <row r="53" spans="1:5" ht="15.75" x14ac:dyDescent="0.25">
      <c r="A53" s="110" t="s">
        <v>424</v>
      </c>
      <c r="B53" s="283">
        <v>24000</v>
      </c>
      <c r="C53" s="95">
        <v>1</v>
      </c>
      <c r="D53" s="92">
        <v>522.99</v>
      </c>
      <c r="E53" s="77"/>
    </row>
    <row r="54" spans="1:5" ht="15.75" x14ac:dyDescent="0.25">
      <c r="A54" s="143" t="s">
        <v>359</v>
      </c>
      <c r="B54" s="23">
        <v>8133.61</v>
      </c>
      <c r="C54" s="95">
        <v>1</v>
      </c>
      <c r="D54" s="111">
        <v>657.53</v>
      </c>
      <c r="E54" s="77"/>
    </row>
    <row r="55" spans="1:5" ht="15.75" hidden="1" x14ac:dyDescent="0.25">
      <c r="A55" s="110" t="s">
        <v>276</v>
      </c>
      <c r="B55" s="23">
        <v>0</v>
      </c>
      <c r="C55" s="95"/>
      <c r="D55" s="111"/>
      <c r="E55" s="77"/>
    </row>
    <row r="56" spans="1:5" ht="15.75" x14ac:dyDescent="0.25">
      <c r="A56" s="110" t="s">
        <v>541</v>
      </c>
      <c r="B56" s="283">
        <v>15912</v>
      </c>
      <c r="C56" s="95">
        <v>0</v>
      </c>
      <c r="D56" s="92">
        <f>10695.76/1.18</f>
        <v>9064.203389830509</v>
      </c>
      <c r="E56" s="77"/>
    </row>
    <row r="57" spans="1:5" ht="15.75" hidden="1" x14ac:dyDescent="0.25">
      <c r="A57" s="110" t="s">
        <v>347</v>
      </c>
      <c r="B57" s="23"/>
      <c r="C57" s="95">
        <v>0</v>
      </c>
      <c r="D57" s="92">
        <f>2300/1.18</f>
        <v>1949.1525423728815</v>
      </c>
      <c r="E57" s="77"/>
    </row>
    <row r="58" spans="1:5" ht="15.75" hidden="1" x14ac:dyDescent="0.25">
      <c r="A58" s="110" t="s">
        <v>274</v>
      </c>
      <c r="B58" s="23"/>
      <c r="C58" s="93">
        <v>0</v>
      </c>
      <c r="D58" s="92">
        <v>0</v>
      </c>
      <c r="E58" s="77"/>
    </row>
    <row r="59" spans="1:5" ht="16.5" hidden="1" thickBot="1" x14ac:dyDescent="0.3">
      <c r="A59" s="110" t="s">
        <v>279</v>
      </c>
      <c r="B59" s="23">
        <f>B13*'[3]34тарифы'!D184</f>
        <v>0</v>
      </c>
      <c r="C59" s="89"/>
      <c r="D59" s="95"/>
      <c r="E59" s="77"/>
    </row>
    <row r="60" spans="1:5" ht="15.75" hidden="1" x14ac:dyDescent="0.25">
      <c r="A60" s="104" t="s">
        <v>280</v>
      </c>
      <c r="B60" s="23">
        <v>0</v>
      </c>
      <c r="C60" s="90"/>
      <c r="D60" s="92"/>
      <c r="E60" s="77"/>
    </row>
    <row r="61" spans="1:5" ht="15.75" hidden="1" x14ac:dyDescent="0.25">
      <c r="A61" s="104" t="s">
        <v>281</v>
      </c>
      <c r="B61" s="23">
        <v>0</v>
      </c>
      <c r="C61" s="95"/>
      <c r="D61" s="92">
        <v>0</v>
      </c>
      <c r="E61" s="77"/>
    </row>
    <row r="62" spans="1:5" ht="15.75" hidden="1" x14ac:dyDescent="0.25">
      <c r="A62" s="104" t="s">
        <v>282</v>
      </c>
      <c r="B62" s="23">
        <v>0</v>
      </c>
      <c r="C62" s="95"/>
      <c r="D62" s="92">
        <v>0</v>
      </c>
      <c r="E62" s="77"/>
    </row>
    <row r="63" spans="1:5" ht="16.5" thickBot="1" x14ac:dyDescent="0.3">
      <c r="A63" s="104" t="s">
        <v>341</v>
      </c>
      <c r="B63" s="283">
        <v>20230.64</v>
      </c>
      <c r="C63" s="113">
        <v>1</v>
      </c>
      <c r="D63" s="92">
        <v>0</v>
      </c>
      <c r="E63" s="77"/>
    </row>
    <row r="64" spans="1:5" ht="16.5" hidden="1" thickBot="1" x14ac:dyDescent="0.3">
      <c r="A64" s="104" t="s">
        <v>284</v>
      </c>
      <c r="B64" s="229">
        <v>0</v>
      </c>
      <c r="C64" s="114">
        <v>60</v>
      </c>
      <c r="D64" s="95">
        <v>2</v>
      </c>
      <c r="E64" s="77">
        <v>1</v>
      </c>
    </row>
    <row r="65" spans="1:4" s="79" customFormat="1" ht="16.5" hidden="1" thickBot="1" x14ac:dyDescent="0.3">
      <c r="A65" s="104" t="s">
        <v>285</v>
      </c>
      <c r="B65" s="229">
        <v>0</v>
      </c>
      <c r="C65" s="115"/>
      <c r="D65" s="108">
        <v>0</v>
      </c>
    </row>
    <row r="66" spans="1:4" ht="16.5" thickBot="1" x14ac:dyDescent="0.3">
      <c r="A66" s="116" t="s">
        <v>286</v>
      </c>
      <c r="B66" s="208">
        <f>SUM(B67:B74)</f>
        <v>176310.46485780997</v>
      </c>
      <c r="C66" s="89"/>
      <c r="D66" s="93"/>
    </row>
    <row r="67" spans="1:4" ht="16.5" hidden="1" thickBot="1" x14ac:dyDescent="0.3">
      <c r="A67" s="104" t="s">
        <v>287</v>
      </c>
      <c r="B67" s="23">
        <v>0</v>
      </c>
      <c r="C67" s="98"/>
      <c r="D67" s="108"/>
    </row>
    <row r="68" spans="1:4" ht="16.5" thickBot="1" x14ac:dyDescent="0.3">
      <c r="A68" s="104" t="s">
        <v>288</v>
      </c>
      <c r="B68" s="23">
        <f>62300.42*1.04*1.1194</f>
        <v>72528.653753920007</v>
      </c>
      <c r="C68" s="89"/>
      <c r="D68" s="93"/>
    </row>
    <row r="69" spans="1:4" ht="15.75" hidden="1" x14ac:dyDescent="0.25">
      <c r="A69" s="104" t="s">
        <v>289</v>
      </c>
      <c r="B69" s="23">
        <v>0</v>
      </c>
      <c r="C69" s="98"/>
      <c r="D69" s="108"/>
    </row>
    <row r="70" spans="1:4" ht="16.5" thickBot="1" x14ac:dyDescent="0.3">
      <c r="A70" s="109" t="s">
        <v>290</v>
      </c>
      <c r="B70" s="23">
        <f>'[3]34тарифы'!D164*B13*1.1194</f>
        <v>3119.5764212247468</v>
      </c>
      <c r="C70" s="93"/>
      <c r="D70" s="108"/>
    </row>
    <row r="71" spans="1:4" ht="15.75" x14ac:dyDescent="0.25">
      <c r="A71" s="109" t="s">
        <v>291</v>
      </c>
      <c r="B71" s="23">
        <f>VLOOKUP(A71,[2]Лист1!S$1:T$65536,2,FALSE)*B15</f>
        <v>11690.834439800579</v>
      </c>
      <c r="C71" s="117"/>
      <c r="D71" s="93"/>
    </row>
    <row r="72" spans="1:4" ht="15.75" x14ac:dyDescent="0.25">
      <c r="A72" s="109" t="s">
        <v>292</v>
      </c>
      <c r="B72" s="23">
        <f>VLOOKUP(A72,[2]Лист1!S$1:T$65536,2,FALSE)*B15</f>
        <v>40810.60329886464</v>
      </c>
      <c r="C72" s="108"/>
      <c r="D72" s="93"/>
    </row>
    <row r="73" spans="1:4" ht="15.75" x14ac:dyDescent="0.25">
      <c r="A73" s="41" t="s">
        <v>293</v>
      </c>
      <c r="B73" s="23">
        <f>4380*1.04*1.1194</f>
        <v>5099.0908799999997</v>
      </c>
      <c r="C73" s="108"/>
      <c r="D73" s="93"/>
    </row>
    <row r="74" spans="1:4" ht="15.75" x14ac:dyDescent="0.25">
      <c r="A74" s="109" t="s">
        <v>294</v>
      </c>
      <c r="B74" s="23">
        <f>36989*1.04*1.1194</f>
        <v>43061.706064000005</v>
      </c>
      <c r="C74" s="108"/>
      <c r="D74" s="93"/>
    </row>
    <row r="75" spans="1:4" ht="47.25" x14ac:dyDescent="0.25">
      <c r="A75" s="118" t="s">
        <v>328</v>
      </c>
      <c r="B75" s="208">
        <f>SUM(B76:B76)</f>
        <v>85994.497057289977</v>
      </c>
      <c r="C75" s="108"/>
      <c r="D75" s="93"/>
    </row>
    <row r="76" spans="1:4" s="79" customFormat="1" ht="15.75" x14ac:dyDescent="0.25">
      <c r="A76" s="109" t="s">
        <v>296</v>
      </c>
      <c r="B76" s="23">
        <f>'[3]34ОЭР'!D204*1.1194</f>
        <v>85994.497057289977</v>
      </c>
      <c r="C76" s="108"/>
      <c r="D76" s="93"/>
    </row>
    <row r="77" spans="1:4" ht="15.75" x14ac:dyDescent="0.25">
      <c r="A77" s="116" t="s">
        <v>297</v>
      </c>
      <c r="B77" s="208">
        <f>SUM(B78:B81)</f>
        <v>81340.118750829148</v>
      </c>
      <c r="C77" s="108"/>
      <c r="D77" s="93"/>
    </row>
    <row r="78" spans="1:4" ht="32.25" thickBot="1" x14ac:dyDescent="0.3">
      <c r="A78" s="119" t="s">
        <v>329</v>
      </c>
      <c r="B78" s="23">
        <f>'[3]34тарифы'!D170*B15*1.1194</f>
        <v>60973.033104361617</v>
      </c>
      <c r="C78" s="96"/>
      <c r="D78" s="93"/>
    </row>
    <row r="79" spans="1:4" ht="16.5" thickBot="1" x14ac:dyDescent="0.3">
      <c r="A79" s="51" t="s">
        <v>299</v>
      </c>
      <c r="B79" s="23">
        <f>(B26/1.2)*30%</f>
        <v>1833.3425</v>
      </c>
      <c r="C79" s="98"/>
      <c r="D79" s="108"/>
    </row>
    <row r="80" spans="1:4" ht="15.75" x14ac:dyDescent="0.25">
      <c r="A80" s="120" t="s">
        <v>330</v>
      </c>
      <c r="B80" s="23">
        <f>7879.48+5100.63</f>
        <v>12980.11</v>
      </c>
      <c r="C80" s="117"/>
      <c r="D80" s="93"/>
    </row>
    <row r="81" spans="1:4" ht="15.75" x14ac:dyDescent="0.25">
      <c r="A81" s="120" t="s">
        <v>331</v>
      </c>
      <c r="B81" s="23">
        <f>'[3]34тарифы'!D173*B13*1.1194</f>
        <v>5553.6331464675313</v>
      </c>
      <c r="C81" s="108"/>
      <c r="D81" s="93"/>
    </row>
    <row r="82" spans="1:4" ht="15.75" x14ac:dyDescent="0.25">
      <c r="A82" s="121" t="s">
        <v>302</v>
      </c>
      <c r="B82" s="28">
        <f>B32+B42+B46+B66+B75+B77</f>
        <v>563490.03242812445</v>
      </c>
      <c r="C82" s="108"/>
      <c r="D82" s="93"/>
    </row>
    <row r="83" spans="1:4" s="103" customFormat="1" ht="15.75" x14ac:dyDescent="0.25">
      <c r="A83" s="122" t="s">
        <v>303</v>
      </c>
      <c r="B83" s="23">
        <f>B82*0.03</f>
        <v>16904.700972843733</v>
      </c>
      <c r="C83" s="108"/>
      <c r="D83" s="93"/>
    </row>
    <row r="84" spans="1:4" ht="15.75" x14ac:dyDescent="0.25">
      <c r="A84" s="123" t="s">
        <v>304</v>
      </c>
      <c r="B84" s="208">
        <f>B82+B83</f>
        <v>580394.73340096814</v>
      </c>
      <c r="C84" s="108"/>
      <c r="D84" s="93"/>
    </row>
    <row r="85" spans="1:4" s="79" customFormat="1" ht="16.5" thickBot="1" x14ac:dyDescent="0.3">
      <c r="A85" s="124" t="s">
        <v>305</v>
      </c>
      <c r="B85" s="240">
        <f>B84*0.2</f>
        <v>116078.94668019364</v>
      </c>
      <c r="C85" s="108"/>
      <c r="D85" s="93"/>
    </row>
    <row r="86" spans="1:4" s="79" customFormat="1" ht="16.5" thickBot="1" x14ac:dyDescent="0.3">
      <c r="A86" s="125" t="s">
        <v>306</v>
      </c>
      <c r="B86" s="66">
        <f>B84+B85</f>
        <v>696473.68008116179</v>
      </c>
      <c r="C86" s="89"/>
      <c r="D86" s="126"/>
    </row>
    <row r="87" spans="1:4" s="79" customFormat="1" ht="16.5" thickBot="1" x14ac:dyDescent="0.3">
      <c r="A87" s="127" t="s">
        <v>307</v>
      </c>
      <c r="B87" s="296">
        <f>B10+B24+B26+B28+B29-B86</f>
        <v>-930069.79008116177</v>
      </c>
      <c r="C87" s="128"/>
      <c r="D87" s="129"/>
    </row>
    <row r="88" spans="1:4" s="79" customFormat="1" ht="16.5" thickBot="1" x14ac:dyDescent="0.3">
      <c r="A88" s="130" t="s">
        <v>308</v>
      </c>
      <c r="B88" s="66">
        <f>B10+B25+B27+B28+B29-B86</f>
        <v>-950127.84008116182</v>
      </c>
      <c r="C88" s="131"/>
      <c r="D88" s="129"/>
    </row>
    <row r="89" spans="1:4" s="79" customFormat="1" ht="16.5" hidden="1" thickBot="1" x14ac:dyDescent="0.3">
      <c r="A89" s="132" t="s">
        <v>309</v>
      </c>
      <c r="B89" s="66">
        <f>B11+B24-B25</f>
        <v>14880.100000000035</v>
      </c>
      <c r="C89" s="129"/>
      <c r="D89" s="129"/>
    </row>
    <row r="90" spans="1:4" ht="15.75" x14ac:dyDescent="0.25">
      <c r="A90" s="133"/>
      <c r="B90" s="242"/>
      <c r="C90" s="129"/>
      <c r="D90" s="129"/>
    </row>
    <row r="91" spans="1:4" ht="15.75" x14ac:dyDescent="0.25">
      <c r="A91" s="134"/>
      <c r="B91" s="3"/>
      <c r="C91" s="77"/>
      <c r="D91" s="77"/>
    </row>
    <row r="92" spans="1:4" ht="15.75" x14ac:dyDescent="0.25">
      <c r="A92" s="323" t="s">
        <v>332</v>
      </c>
      <c r="B92" s="323"/>
      <c r="C92" s="77"/>
      <c r="D92" s="77"/>
    </row>
    <row r="93" spans="1:4" ht="15.75" x14ac:dyDescent="0.25">
      <c r="A93" s="134"/>
      <c r="B93" s="3"/>
      <c r="C93" s="77"/>
      <c r="D93" s="77"/>
    </row>
    <row r="94" spans="1:4" ht="15.75" hidden="1" x14ac:dyDescent="0.25">
      <c r="A94" s="324" t="s">
        <v>333</v>
      </c>
      <c r="B94" s="324"/>
      <c r="C94" s="135"/>
      <c r="D94" s="77"/>
    </row>
    <row r="95" spans="1:4" ht="15.75" x14ac:dyDescent="0.25">
      <c r="A95" s="77"/>
      <c r="B95" s="3"/>
      <c r="C95" s="77"/>
      <c r="D95" s="77"/>
    </row>
  </sheetData>
  <autoFilter ref="A31:G89" xr:uid="{00000000-0009-0000-0000-000043000000}">
    <filterColumn colId="1">
      <filters>
        <filter val="1 833,34"/>
        <filter val="102 735,29"/>
        <filter val="11 509,89"/>
        <filter val="11 690,83"/>
        <filter val="113 503,82"/>
        <filter val="13 794,53"/>
        <filter val="14 880,10"/>
        <filter val="15 433,96"/>
        <filter val="16 529,68"/>
        <filter val="17 593,08"/>
        <filter val="176 310,46"/>
        <filter val="2 293,32"/>
        <filter val="2 688,00"/>
        <filter val="20 770,98"/>
        <filter val="203,00"/>
        <filter val="24 000,00"/>
        <filter val="24 846,69"/>
        <filter val="3 119,58"/>
        <filter val="3 264,00"/>
        <filter val="31 503,24"/>
        <filter val="38 498,26"/>
        <filter val="40 810,60"/>
        <filter val="43 061,71"/>
        <filter val="46 385,36"/>
        <filter val="5 099,09"/>
        <filter val="5 553,63"/>
        <filter val="550 989,42"/>
        <filter val="567 519,11"/>
        <filter val="6 038,40"/>
        <filter val="60 973,03"/>
        <filter val="65 296,37"/>
        <filter val="681 022,93"/>
        <filter val="-694 712,02"/>
        <filter val="-714 770,07"/>
        <filter val="72 528,65"/>
        <filter val="82 154,54"/>
        <filter val="85 994,50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76"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filterMode="1">
    <pageSetUpPr fitToPage="1"/>
  </sheetPr>
  <dimension ref="A1:G95"/>
  <sheetViews>
    <sheetView view="pageBreakPreview" topLeftCell="A36" zoomScale="80" zoomScaleNormal="100" zoomScaleSheetLayoutView="80" workbookViewId="0">
      <selection activeCell="B81" sqref="B81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25" t="s">
        <v>224</v>
      </c>
      <c r="B1" s="325"/>
      <c r="C1" s="77"/>
      <c r="D1" s="77"/>
    </row>
    <row r="2" spans="1:4" ht="16.5" x14ac:dyDescent="0.25">
      <c r="A2" s="326" t="s">
        <v>225</v>
      </c>
      <c r="B2" s="326"/>
      <c r="C2" s="77"/>
      <c r="D2" s="77"/>
    </row>
    <row r="3" spans="1:4" ht="16.5" x14ac:dyDescent="0.25">
      <c r="A3" s="326" t="s">
        <v>226</v>
      </c>
      <c r="B3" s="326"/>
      <c r="C3" s="77"/>
      <c r="D3" s="77"/>
    </row>
    <row r="4" spans="1:4" ht="15.75" x14ac:dyDescent="0.25">
      <c r="A4" s="78" t="s">
        <v>516</v>
      </c>
      <c r="B4" s="78"/>
      <c r="C4" s="77"/>
      <c r="D4" s="77"/>
    </row>
    <row r="5" spans="1:4" ht="15.75" x14ac:dyDescent="0.25">
      <c r="A5" s="78" t="s">
        <v>155</v>
      </c>
      <c r="B5" s="78"/>
      <c r="C5" s="77"/>
      <c r="D5" s="77"/>
    </row>
    <row r="6" spans="1:4" ht="5.25" customHeight="1" x14ac:dyDescent="0.25">
      <c r="A6" s="78"/>
      <c r="B6" s="8"/>
      <c r="C6" s="79"/>
      <c r="D6" s="77"/>
    </row>
    <row r="7" spans="1:4" ht="16.5" thickBot="1" x14ac:dyDescent="0.3">
      <c r="A7" s="80"/>
      <c r="B7" s="8"/>
      <c r="C7" s="79"/>
      <c r="D7" s="77"/>
    </row>
    <row r="8" spans="1:4" ht="15.75" customHeight="1" x14ac:dyDescent="0.2">
      <c r="A8" s="327" t="s">
        <v>227</v>
      </c>
      <c r="B8" s="329" t="s">
        <v>228</v>
      </c>
      <c r="C8" s="331" t="s">
        <v>229</v>
      </c>
      <c r="D8" s="321" t="s">
        <v>230</v>
      </c>
    </row>
    <row r="9" spans="1:4" ht="28.5" customHeight="1" thickBot="1" x14ac:dyDescent="0.25">
      <c r="A9" s="328"/>
      <c r="B9" s="330"/>
      <c r="C9" s="332"/>
      <c r="D9" s="322"/>
    </row>
    <row r="10" spans="1:4" ht="16.5" thickBot="1" x14ac:dyDescent="0.25">
      <c r="A10" s="81" t="s">
        <v>231</v>
      </c>
      <c r="B10" s="302">
        <f>VLOOKUP(A5,мкд!S:T,2,FALSE)</f>
        <v>-785135.61</v>
      </c>
      <c r="C10" s="83"/>
      <c r="D10" s="84"/>
    </row>
    <row r="11" spans="1:4" ht="16.5" hidden="1" thickBot="1" x14ac:dyDescent="0.25">
      <c r="A11" s="85" t="s">
        <v>232</v>
      </c>
      <c r="B11" s="210"/>
      <c r="C11" s="84"/>
      <c r="D11" s="86"/>
    </row>
    <row r="12" spans="1:4" ht="16.5" thickBot="1" x14ac:dyDescent="0.3">
      <c r="A12" s="87" t="s">
        <v>233</v>
      </c>
      <c r="B12" s="217"/>
      <c r="C12" s="89" t="s">
        <v>234</v>
      </c>
      <c r="D12" s="90" t="s">
        <v>234</v>
      </c>
    </row>
    <row r="13" spans="1:4" ht="16.5" hidden="1" thickBot="1" x14ac:dyDescent="0.3">
      <c r="A13" s="91" t="s">
        <v>235</v>
      </c>
      <c r="B13" s="23">
        <v>1525.8</v>
      </c>
      <c r="C13" s="90" t="s">
        <v>234</v>
      </c>
      <c r="D13" s="92" t="s">
        <v>234</v>
      </c>
    </row>
    <row r="14" spans="1:4" ht="16.5" hidden="1" thickBot="1" x14ac:dyDescent="0.3">
      <c r="A14" s="91" t="s">
        <v>236</v>
      </c>
      <c r="B14" s="23">
        <v>498.9</v>
      </c>
      <c r="C14" s="93"/>
      <c r="D14" s="92"/>
    </row>
    <row r="15" spans="1:4" ht="15.75" x14ac:dyDescent="0.25">
      <c r="A15" s="91" t="s">
        <v>237</v>
      </c>
      <c r="B15" s="23">
        <f>B13+B14</f>
        <v>2024.6999999999998</v>
      </c>
      <c r="C15" s="94"/>
      <c r="D15" s="95"/>
    </row>
    <row r="16" spans="1:4" ht="16.5" thickBot="1" x14ac:dyDescent="0.3">
      <c r="A16" s="91" t="s">
        <v>238</v>
      </c>
      <c r="B16" s="23">
        <f>804.4+3395.4/3</f>
        <v>1936.1999999999998</v>
      </c>
      <c r="C16" s="96" t="s">
        <v>234</v>
      </c>
      <c r="D16" s="95" t="s">
        <v>234</v>
      </c>
    </row>
    <row r="17" spans="1:7" ht="16.5" hidden="1" thickBot="1" x14ac:dyDescent="0.3">
      <c r="A17" s="91" t="s">
        <v>239</v>
      </c>
      <c r="B17" s="23">
        <v>0</v>
      </c>
      <c r="C17" s="90" t="s">
        <v>234</v>
      </c>
      <c r="D17" s="92" t="s">
        <v>234</v>
      </c>
      <c r="E17" s="77"/>
      <c r="F17" s="77"/>
      <c r="G17" s="77"/>
    </row>
    <row r="18" spans="1:7" ht="16.5" hidden="1" thickBot="1" x14ac:dyDescent="0.3">
      <c r="A18" s="91" t="s">
        <v>240</v>
      </c>
      <c r="B18" s="23">
        <v>0</v>
      </c>
      <c r="C18" s="95" t="s">
        <v>234</v>
      </c>
      <c r="D18" s="92" t="s">
        <v>234</v>
      </c>
      <c r="E18" s="77"/>
      <c r="F18" s="77"/>
      <c r="G18" s="77"/>
    </row>
    <row r="19" spans="1:7" ht="16.5" hidden="1" thickBot="1" x14ac:dyDescent="0.3">
      <c r="A19" s="91" t="s">
        <v>241</v>
      </c>
      <c r="B19" s="23">
        <v>0</v>
      </c>
      <c r="C19" s="95" t="s">
        <v>234</v>
      </c>
      <c r="D19" s="92" t="s">
        <v>234</v>
      </c>
      <c r="E19" s="77"/>
      <c r="F19" s="77"/>
      <c r="G19" s="77"/>
    </row>
    <row r="20" spans="1:7" ht="16.5" hidden="1" thickBot="1" x14ac:dyDescent="0.3">
      <c r="A20" s="91" t="s">
        <v>242</v>
      </c>
      <c r="B20" s="23">
        <v>966</v>
      </c>
      <c r="C20" s="95"/>
      <c r="D20" s="92"/>
      <c r="E20" s="77"/>
      <c r="F20" s="77"/>
      <c r="G20" s="77"/>
    </row>
    <row r="21" spans="1:7" ht="16.5" hidden="1" thickBot="1" x14ac:dyDescent="0.3">
      <c r="A21" s="91" t="s">
        <v>243</v>
      </c>
      <c r="B21" s="23">
        <v>0</v>
      </c>
      <c r="C21" s="95" t="s">
        <v>234</v>
      </c>
      <c r="D21" s="92" t="s">
        <v>234</v>
      </c>
      <c r="E21" s="77"/>
      <c r="F21" s="77"/>
      <c r="G21" s="77"/>
    </row>
    <row r="22" spans="1:7" ht="16.5" hidden="1" thickBot="1" x14ac:dyDescent="0.3">
      <c r="A22" s="91" t="s">
        <v>244</v>
      </c>
      <c r="B22" s="23">
        <v>83</v>
      </c>
      <c r="C22" s="93"/>
      <c r="D22" s="92"/>
      <c r="E22" s="77"/>
      <c r="F22" s="77"/>
      <c r="G22" s="77"/>
    </row>
    <row r="23" spans="1:7" ht="15.75" x14ac:dyDescent="0.25">
      <c r="A23" s="91"/>
      <c r="B23" s="23"/>
      <c r="C23" s="94"/>
      <c r="D23" s="95"/>
      <c r="E23" s="77">
        <v>10</v>
      </c>
      <c r="F23" s="77">
        <v>2</v>
      </c>
      <c r="G23" s="77"/>
    </row>
    <row r="24" spans="1:7" ht="15.75" x14ac:dyDescent="0.25">
      <c r="A24" s="97" t="s">
        <v>319</v>
      </c>
      <c r="B24" s="28">
        <f>VLOOKUP(A5,[2]Лист1!M$1:N$65536,2,FALSE)</f>
        <v>271837.42</v>
      </c>
      <c r="C24" s="92"/>
      <c r="D24" s="95"/>
      <c r="E24" s="26">
        <v>14.559999999999999</v>
      </c>
      <c r="F24" s="256">
        <v>16.298463999999999</v>
      </c>
      <c r="G24" s="77"/>
    </row>
    <row r="25" spans="1:7" ht="16.5" thickBot="1" x14ac:dyDescent="0.3">
      <c r="A25" s="97" t="s">
        <v>320</v>
      </c>
      <c r="B25" s="28">
        <f>VLOOKUP(A5,[2]Лист1!M$1:O$65536,3,FALSE)</f>
        <v>296422.17</v>
      </c>
      <c r="C25" s="96"/>
      <c r="D25" s="95"/>
      <c r="E25" s="77"/>
      <c r="F25" s="77"/>
      <c r="G25" s="77"/>
    </row>
    <row r="26" spans="1:7" ht="15.75" x14ac:dyDescent="0.25">
      <c r="A26" s="97" t="s">
        <v>353</v>
      </c>
      <c r="B26" s="28">
        <v>88850.52</v>
      </c>
      <c r="C26" s="90"/>
      <c r="D26" s="92"/>
      <c r="E26" s="77"/>
      <c r="F26" s="77"/>
      <c r="G26" s="77"/>
    </row>
    <row r="27" spans="1:7" ht="16.5" thickBot="1" x14ac:dyDescent="0.3">
      <c r="A27" s="97" t="s">
        <v>354</v>
      </c>
      <c r="B27" s="28">
        <v>60521.25</v>
      </c>
      <c r="C27" s="93"/>
      <c r="D27" s="92"/>
      <c r="E27" s="77"/>
      <c r="F27" s="77"/>
      <c r="G27" s="77"/>
    </row>
    <row r="28" spans="1:7" ht="16.5" thickBot="1" x14ac:dyDescent="0.3">
      <c r="A28" s="97" t="s">
        <v>249</v>
      </c>
      <c r="B28" s="28">
        <v>7611.96</v>
      </c>
      <c r="C28" s="89"/>
      <c r="D28" s="95"/>
      <c r="E28" s="77"/>
      <c r="F28" s="77"/>
      <c r="G28" s="77"/>
    </row>
    <row r="29" spans="1:7" ht="16.5" hidden="1" thickBot="1" x14ac:dyDescent="0.3">
      <c r="A29" s="97" t="s">
        <v>250</v>
      </c>
      <c r="B29" s="28"/>
      <c r="C29" s="98"/>
      <c r="D29" s="92"/>
      <c r="E29" s="77"/>
      <c r="F29" s="77"/>
      <c r="G29" s="77"/>
    </row>
    <row r="30" spans="1:7" ht="15.75" x14ac:dyDescent="0.25">
      <c r="A30" s="99"/>
      <c r="B30" s="23"/>
      <c r="C30" s="94"/>
      <c r="D30" s="95"/>
      <c r="E30" s="77"/>
      <c r="F30" s="77"/>
      <c r="G30" s="77"/>
    </row>
    <row r="31" spans="1:7" ht="15.75" x14ac:dyDescent="0.25">
      <c r="A31" s="100" t="s">
        <v>251</v>
      </c>
      <c r="B31" s="23"/>
      <c r="C31" s="92"/>
      <c r="D31" s="95"/>
      <c r="E31" s="77"/>
      <c r="F31" s="77"/>
      <c r="G31" s="77"/>
    </row>
    <row r="32" spans="1:7" s="103" customFormat="1" ht="31.5" x14ac:dyDescent="0.25">
      <c r="A32" s="101" t="s">
        <v>252</v>
      </c>
      <c r="B32" s="208">
        <f>SUM(B33:B41)</f>
        <v>32930.005319999997</v>
      </c>
      <c r="C32" s="92"/>
      <c r="D32" s="95"/>
      <c r="E32" s="102">
        <f>(B86-B26-B24)/1.2/1.03</f>
        <v>103805.38760830775</v>
      </c>
      <c r="F32" s="102" t="e">
        <f>(#REF!-#REF!-#REF!)/1.2/1.03</f>
        <v>#REF!</v>
      </c>
      <c r="G32" s="102" t="e">
        <f>(#REF!-#REF!-#REF!)/1.2/1.03</f>
        <v>#REF!</v>
      </c>
    </row>
    <row r="33" spans="1:7" ht="16.5" thickBot="1" x14ac:dyDescent="0.3">
      <c r="A33" s="104" t="s">
        <v>253</v>
      </c>
      <c r="B33" s="23">
        <f>12867.8*1.1194</f>
        <v>14404.215319999999</v>
      </c>
      <c r="C33" s="96"/>
      <c r="D33" s="95">
        <v>28323</v>
      </c>
      <c r="E33" s="77"/>
      <c r="F33" s="77"/>
      <c r="G33" s="77"/>
    </row>
    <row r="34" spans="1:7" ht="15.75" hidden="1" x14ac:dyDescent="0.25">
      <c r="A34" s="104" t="s">
        <v>322</v>
      </c>
      <c r="B34" s="23">
        <v>0</v>
      </c>
      <c r="C34" s="90"/>
      <c r="D34" s="92">
        <v>0</v>
      </c>
      <c r="E34" s="77"/>
      <c r="F34" s="77"/>
      <c r="G34" s="77"/>
    </row>
    <row r="35" spans="1:7" ht="15.75" x14ac:dyDescent="0.25">
      <c r="A35" s="104" t="s">
        <v>256</v>
      </c>
      <c r="B35" s="23">
        <v>14179.25</v>
      </c>
      <c r="C35" s="95"/>
      <c r="D35" s="92">
        <v>0</v>
      </c>
      <c r="E35" s="77"/>
      <c r="F35" s="77"/>
      <c r="G35" s="77"/>
    </row>
    <row r="36" spans="1:7" ht="16.5" thickBot="1" x14ac:dyDescent="0.3">
      <c r="A36" s="104" t="s">
        <v>255</v>
      </c>
      <c r="B36" s="23">
        <v>4346.54</v>
      </c>
      <c r="C36" s="95" t="s">
        <v>234</v>
      </c>
      <c r="D36" s="92">
        <v>0</v>
      </c>
      <c r="E36" s="77"/>
      <c r="F36" s="77"/>
      <c r="G36" s="77"/>
    </row>
    <row r="37" spans="1:7" ht="16.5" hidden="1" thickBot="1" x14ac:dyDescent="0.3">
      <c r="A37" s="104" t="s">
        <v>257</v>
      </c>
      <c r="B37" s="23"/>
      <c r="C37" s="95"/>
      <c r="D37" s="92">
        <v>0</v>
      </c>
      <c r="E37" s="77"/>
      <c r="F37" s="77"/>
      <c r="G37" s="77"/>
    </row>
    <row r="38" spans="1:7" ht="16.5" hidden="1" thickBot="1" x14ac:dyDescent="0.3">
      <c r="A38" s="104" t="s">
        <v>491</v>
      </c>
      <c r="B38" s="23"/>
      <c r="C38" s="95"/>
      <c r="D38" s="92">
        <v>0</v>
      </c>
      <c r="E38" s="77"/>
      <c r="F38" s="77"/>
      <c r="G38" s="77"/>
    </row>
    <row r="39" spans="1:7" ht="16.5" hidden="1" thickBot="1" x14ac:dyDescent="0.3">
      <c r="A39" s="104" t="s">
        <v>324</v>
      </c>
      <c r="B39" s="23">
        <v>0</v>
      </c>
      <c r="C39" s="95"/>
      <c r="D39" s="92">
        <v>0</v>
      </c>
      <c r="E39" s="77"/>
      <c r="F39" s="77"/>
      <c r="G39" s="77"/>
    </row>
    <row r="40" spans="1:7" ht="16.5" hidden="1" thickBot="1" x14ac:dyDescent="0.3">
      <c r="A40" s="104" t="s">
        <v>312</v>
      </c>
      <c r="B40" s="23">
        <v>0</v>
      </c>
      <c r="C40" s="95"/>
      <c r="D40" s="92"/>
      <c r="E40" s="77"/>
      <c r="F40" s="77"/>
      <c r="G40" s="77"/>
    </row>
    <row r="41" spans="1:7" ht="16.5" hidden="1" thickBot="1" x14ac:dyDescent="0.3">
      <c r="A41" s="104" t="s">
        <v>492</v>
      </c>
      <c r="B41" s="23">
        <v>0</v>
      </c>
      <c r="C41" s="93"/>
      <c r="D41" s="92"/>
      <c r="E41" s="77"/>
      <c r="F41" s="77"/>
      <c r="G41" s="77"/>
    </row>
    <row r="42" spans="1:7" s="103" customFormat="1" ht="48" thickBot="1" x14ac:dyDescent="0.3">
      <c r="A42" s="101" t="s">
        <v>325</v>
      </c>
      <c r="B42" s="208">
        <f>SUM(B43:B45)</f>
        <v>34316.861389735437</v>
      </c>
      <c r="C42" s="89"/>
      <c r="D42" s="95"/>
      <c r="E42" s="102"/>
      <c r="F42" s="102"/>
      <c r="G42" s="102"/>
    </row>
    <row r="43" spans="1:7" ht="15.75" x14ac:dyDescent="0.25">
      <c r="A43" s="104" t="s">
        <v>262</v>
      </c>
      <c r="B43" s="23">
        <v>8982.99</v>
      </c>
      <c r="C43" s="98"/>
      <c r="D43" s="108"/>
      <c r="E43" s="77"/>
      <c r="F43" s="77"/>
      <c r="G43" s="77"/>
    </row>
    <row r="44" spans="1:7" ht="15.75" x14ac:dyDescent="0.25">
      <c r="A44" s="104" t="s">
        <v>263</v>
      </c>
      <c r="B44" s="23">
        <v>13148.48</v>
      </c>
      <c r="C44" s="93"/>
      <c r="D44" s="108"/>
      <c r="E44" s="77"/>
      <c r="F44" s="77"/>
      <c r="G44" s="77"/>
    </row>
    <row r="45" spans="1:7" ht="16.5" thickBot="1" x14ac:dyDescent="0.3">
      <c r="A45" s="109" t="s">
        <v>264</v>
      </c>
      <c r="B45" s="23">
        <f>('[3]34тарифы'!D163*B15+143.67)*1.1194</f>
        <v>12185.391389735438</v>
      </c>
      <c r="C45" s="93"/>
      <c r="D45" s="108"/>
      <c r="E45" s="77"/>
      <c r="F45" s="77"/>
      <c r="G45" s="77"/>
    </row>
    <row r="46" spans="1:7" s="79" customFormat="1" ht="16.5" thickBot="1" x14ac:dyDescent="0.3">
      <c r="A46" s="101" t="s">
        <v>265</v>
      </c>
      <c r="B46" s="208">
        <f>SUM(B47:B65)</f>
        <v>14040.130000000001</v>
      </c>
      <c r="C46" s="89"/>
      <c r="D46" s="95"/>
    </row>
    <row r="47" spans="1:7" ht="15.75" hidden="1" x14ac:dyDescent="0.25">
      <c r="A47" s="104" t="s">
        <v>326</v>
      </c>
      <c r="B47" s="23">
        <v>0</v>
      </c>
      <c r="C47" s="90"/>
      <c r="D47" s="92"/>
      <c r="E47" s="77" t="s">
        <v>267</v>
      </c>
      <c r="F47" s="77"/>
      <c r="G47" s="77"/>
    </row>
    <row r="48" spans="1:7" ht="15.75" hidden="1" x14ac:dyDescent="0.25">
      <c r="A48" s="104" t="s">
        <v>317</v>
      </c>
      <c r="B48" s="23"/>
      <c r="C48" s="95"/>
      <c r="D48" s="92"/>
      <c r="E48" s="77" t="s">
        <v>269</v>
      </c>
      <c r="F48" s="77"/>
      <c r="G48" s="77"/>
    </row>
    <row r="49" spans="1:5" ht="15.75" x14ac:dyDescent="0.25">
      <c r="A49" s="110" t="s">
        <v>282</v>
      </c>
      <c r="B49" s="283">
        <v>66.599999999999994</v>
      </c>
      <c r="C49" s="95"/>
      <c r="D49" s="92"/>
      <c r="E49" s="77"/>
    </row>
    <row r="50" spans="1:5" ht="15.75" x14ac:dyDescent="0.25">
      <c r="A50" s="110" t="s">
        <v>482</v>
      </c>
      <c r="B50" s="283">
        <v>0</v>
      </c>
      <c r="C50" s="95"/>
      <c r="D50" s="92">
        <v>4190</v>
      </c>
      <c r="E50" s="77"/>
    </row>
    <row r="51" spans="1:5" ht="15.75" hidden="1" x14ac:dyDescent="0.25">
      <c r="A51" s="110" t="s">
        <v>490</v>
      </c>
      <c r="B51" s="23">
        <v>0</v>
      </c>
      <c r="C51" s="95"/>
      <c r="D51" s="92"/>
      <c r="E51" s="77"/>
    </row>
    <row r="52" spans="1:5" ht="15.75" hidden="1" x14ac:dyDescent="0.25">
      <c r="A52" s="110" t="s">
        <v>273</v>
      </c>
      <c r="B52" s="23">
        <f>B21*'[3]34тарифы'!D177</f>
        <v>0</v>
      </c>
      <c r="C52" s="95"/>
      <c r="D52" s="92">
        <v>105.14</v>
      </c>
      <c r="E52" s="77"/>
    </row>
    <row r="53" spans="1:5" ht="15.75" hidden="1" x14ac:dyDescent="0.25">
      <c r="A53" s="110" t="s">
        <v>274</v>
      </c>
      <c r="B53" s="23">
        <v>0</v>
      </c>
      <c r="C53" s="95">
        <v>0</v>
      </c>
      <c r="D53" s="92">
        <v>522.99</v>
      </c>
      <c r="E53" s="77"/>
    </row>
    <row r="54" spans="1:5" ht="15.75" hidden="1" x14ac:dyDescent="0.25">
      <c r="A54" s="110" t="s">
        <v>275</v>
      </c>
      <c r="B54" s="23">
        <v>0</v>
      </c>
      <c r="C54" s="95">
        <v>0</v>
      </c>
      <c r="D54" s="111">
        <v>695.13</v>
      </c>
      <c r="E54" s="77"/>
    </row>
    <row r="55" spans="1:5" ht="15.75" hidden="1" x14ac:dyDescent="0.25">
      <c r="A55" s="110" t="s">
        <v>276</v>
      </c>
      <c r="B55" s="23">
        <v>0</v>
      </c>
      <c r="C55" s="95"/>
      <c r="D55" s="111"/>
      <c r="E55" s="77"/>
    </row>
    <row r="56" spans="1:5" ht="15.75" hidden="1" x14ac:dyDescent="0.25">
      <c r="A56" s="110" t="s">
        <v>277</v>
      </c>
      <c r="B56" s="23">
        <v>0</v>
      </c>
      <c r="C56" s="95">
        <v>0</v>
      </c>
      <c r="D56" s="92">
        <f>10695.76/1.18</f>
        <v>9064.203389830509</v>
      </c>
      <c r="E56" s="77"/>
    </row>
    <row r="57" spans="1:5" ht="15.75" hidden="1" x14ac:dyDescent="0.25">
      <c r="A57" s="110" t="s">
        <v>314</v>
      </c>
      <c r="B57" s="23">
        <v>0</v>
      </c>
      <c r="C57" s="95">
        <v>0</v>
      </c>
      <c r="D57" s="92">
        <f>2300/1.18</f>
        <v>1949.1525423728815</v>
      </c>
      <c r="E57" s="77"/>
    </row>
    <row r="58" spans="1:5" ht="15.75" hidden="1" x14ac:dyDescent="0.25">
      <c r="A58" s="110" t="s">
        <v>315</v>
      </c>
      <c r="B58" s="23">
        <v>0</v>
      </c>
      <c r="C58" s="93">
        <v>0</v>
      </c>
      <c r="D58" s="92">
        <v>0</v>
      </c>
      <c r="E58" s="77"/>
    </row>
    <row r="59" spans="1:5" ht="16.5" hidden="1" thickBot="1" x14ac:dyDescent="0.3">
      <c r="A59" s="110" t="s">
        <v>279</v>
      </c>
      <c r="B59" s="23"/>
      <c r="C59" s="89"/>
      <c r="D59" s="95"/>
      <c r="E59" s="77"/>
    </row>
    <row r="60" spans="1:5" ht="15.75" hidden="1" x14ac:dyDescent="0.25">
      <c r="A60" s="104" t="s">
        <v>280</v>
      </c>
      <c r="B60" s="23">
        <v>0</v>
      </c>
      <c r="C60" s="90"/>
      <c r="D60" s="92"/>
      <c r="E60" s="77"/>
    </row>
    <row r="61" spans="1:5" ht="15.75" hidden="1" x14ac:dyDescent="0.25">
      <c r="A61" s="104" t="s">
        <v>281</v>
      </c>
      <c r="B61" s="23">
        <v>0</v>
      </c>
      <c r="C61" s="95"/>
      <c r="D61" s="92">
        <v>48300</v>
      </c>
      <c r="E61" s="77"/>
    </row>
    <row r="62" spans="1:5" ht="15.75" x14ac:dyDescent="0.25">
      <c r="A62" s="104" t="s">
        <v>316</v>
      </c>
      <c r="B62" s="283">
        <v>0</v>
      </c>
      <c r="C62" s="95"/>
      <c r="D62" s="92">
        <v>0</v>
      </c>
      <c r="E62" s="77"/>
    </row>
    <row r="63" spans="1:5" ht="16.5" thickBot="1" x14ac:dyDescent="0.3">
      <c r="A63" s="104" t="s">
        <v>341</v>
      </c>
      <c r="B63" s="283">
        <v>13973.53</v>
      </c>
      <c r="C63" s="113">
        <v>1</v>
      </c>
      <c r="D63" s="92">
        <v>0</v>
      </c>
      <c r="E63" s="77"/>
    </row>
    <row r="64" spans="1:5" ht="16.5" hidden="1" thickBot="1" x14ac:dyDescent="0.3">
      <c r="A64" s="104" t="s">
        <v>284</v>
      </c>
      <c r="B64" s="229">
        <v>0</v>
      </c>
      <c r="C64" s="114">
        <v>36</v>
      </c>
      <c r="D64" s="95">
        <v>2</v>
      </c>
      <c r="E64" s="77">
        <v>1</v>
      </c>
    </row>
    <row r="65" spans="1:4" s="79" customFormat="1" ht="16.5" hidden="1" thickBot="1" x14ac:dyDescent="0.3">
      <c r="A65" s="104" t="s">
        <v>285</v>
      </c>
      <c r="B65" s="229">
        <v>0</v>
      </c>
      <c r="C65" s="115">
        <v>33</v>
      </c>
      <c r="D65" s="108">
        <f>650/1.18</f>
        <v>550.84745762711873</v>
      </c>
    </row>
    <row r="66" spans="1:4" ht="16.5" thickBot="1" x14ac:dyDescent="0.3">
      <c r="A66" s="116" t="s">
        <v>286</v>
      </c>
      <c r="B66" s="208">
        <f>SUM(B67:B74)</f>
        <v>163959.96220358985</v>
      </c>
      <c r="C66" s="89"/>
      <c r="D66" s="93"/>
    </row>
    <row r="67" spans="1:4" ht="16.5" hidden="1" thickBot="1" x14ac:dyDescent="0.3">
      <c r="A67" s="104" t="s">
        <v>287</v>
      </c>
      <c r="B67" s="23">
        <v>0</v>
      </c>
      <c r="C67" s="98"/>
      <c r="D67" s="108"/>
    </row>
    <row r="68" spans="1:4" ht="16.5" thickBot="1" x14ac:dyDescent="0.3">
      <c r="A68" s="104" t="s">
        <v>288</v>
      </c>
      <c r="B68" s="23">
        <f>69963.43*1.04*1.1194</f>
        <v>81449.746083680002</v>
      </c>
      <c r="C68" s="89"/>
      <c r="D68" s="93"/>
    </row>
    <row r="69" spans="1:4" ht="15.75" hidden="1" x14ac:dyDescent="0.25">
      <c r="A69" s="104" t="s">
        <v>289</v>
      </c>
      <c r="B69" s="23">
        <v>0</v>
      </c>
      <c r="C69" s="98"/>
      <c r="D69" s="108"/>
    </row>
    <row r="70" spans="1:4" ht="16.5" thickBot="1" x14ac:dyDescent="0.3">
      <c r="A70" s="109" t="s">
        <v>290</v>
      </c>
      <c r="B70" s="23">
        <f>'[3]34тарифы'!D164*B13*1.1194</f>
        <v>1883.0009112685805</v>
      </c>
      <c r="C70" s="93"/>
      <c r="D70" s="108"/>
    </row>
    <row r="71" spans="1:4" ht="15.75" x14ac:dyDescent="0.25">
      <c r="A71" s="109" t="s">
        <v>291</v>
      </c>
      <c r="B71" s="23">
        <f>VLOOKUP(A71,[2]Лист1!S$1:T$65536,2,FALSE)*B15</f>
        <v>9364.044817732507</v>
      </c>
      <c r="C71" s="117"/>
      <c r="D71" s="93"/>
    </row>
    <row r="72" spans="1:4" ht="15.75" x14ac:dyDescent="0.25">
      <c r="A72" s="109" t="s">
        <v>292</v>
      </c>
      <c r="B72" s="23">
        <f>VLOOKUP(A72,[2]Лист1!S$1:T$65536,2,FALSE)*B15</f>
        <v>32688.198630908784</v>
      </c>
      <c r="C72" s="108"/>
      <c r="D72" s="93"/>
    </row>
    <row r="73" spans="1:4" ht="15.75" x14ac:dyDescent="0.25">
      <c r="A73" s="41" t="s">
        <v>293</v>
      </c>
      <c r="B73" s="23">
        <f>3508*1.04*1.1194</f>
        <v>4083.929408</v>
      </c>
      <c r="C73" s="108"/>
      <c r="D73" s="93"/>
    </row>
    <row r="74" spans="1:4" ht="15.75" x14ac:dyDescent="0.25">
      <c r="A74" s="109" t="s">
        <v>294</v>
      </c>
      <c r="B74" s="23">
        <f>29627*1.04*1.1194</f>
        <v>34491.042352000004</v>
      </c>
      <c r="C74" s="108"/>
      <c r="D74" s="93"/>
    </row>
    <row r="75" spans="1:4" ht="47.25" x14ac:dyDescent="0.25">
      <c r="A75" s="118" t="s">
        <v>328</v>
      </c>
      <c r="B75" s="208">
        <f>SUM(B76:B76)</f>
        <v>67787.139532319998</v>
      </c>
      <c r="C75" s="108"/>
      <c r="D75" s="93"/>
    </row>
    <row r="76" spans="1:4" s="79" customFormat="1" ht="15.75" x14ac:dyDescent="0.25">
      <c r="A76" s="109" t="s">
        <v>296</v>
      </c>
      <c r="B76" s="23">
        <f>58227.57*1.04*1.1194</f>
        <v>67787.139532319998</v>
      </c>
      <c r="C76" s="108"/>
      <c r="D76" s="93"/>
    </row>
    <row r="77" spans="1:4" ht="15.75" x14ac:dyDescent="0.25">
      <c r="A77" s="116" t="s">
        <v>297</v>
      </c>
      <c r="B77" s="208">
        <f>SUM(B78:B81)</f>
        <v>82590.010845510362</v>
      </c>
      <c r="C77" s="108"/>
      <c r="D77" s="93"/>
    </row>
    <row r="78" spans="1:4" ht="32.25" thickBot="1" x14ac:dyDescent="0.3">
      <c r="A78" s="119" t="s">
        <v>329</v>
      </c>
      <c r="B78" s="23">
        <f>'[3]34тарифы'!D170*B15*1.1194</f>
        <v>48837.764113616955</v>
      </c>
      <c r="C78" s="96"/>
      <c r="D78" s="93"/>
    </row>
    <row r="79" spans="1:4" ht="16.5" thickBot="1" x14ac:dyDescent="0.3">
      <c r="A79" s="51" t="s">
        <v>299</v>
      </c>
      <c r="B79" s="23">
        <f>(B26/1.2)*30%</f>
        <v>22212.63</v>
      </c>
      <c r="C79" s="98"/>
      <c r="D79" s="108"/>
    </row>
    <row r="80" spans="1:4" ht="15.75" x14ac:dyDescent="0.25">
      <c r="A80" s="120" t="s">
        <v>330</v>
      </c>
      <c r="B80" s="23">
        <f>4920.4+3267</f>
        <v>8187.4</v>
      </c>
      <c r="C80" s="117"/>
      <c r="D80" s="93"/>
    </row>
    <row r="81" spans="1:4" ht="15.75" x14ac:dyDescent="0.25">
      <c r="A81" s="120" t="s">
        <v>331</v>
      </c>
      <c r="B81" s="23">
        <f>'[3]34тарифы'!D173*B13*1.1194</f>
        <v>3352.2167318934085</v>
      </c>
      <c r="C81" s="108"/>
      <c r="D81" s="93"/>
    </row>
    <row r="82" spans="1:4" ht="15.75" x14ac:dyDescent="0.25">
      <c r="A82" s="121" t="s">
        <v>302</v>
      </c>
      <c r="B82" s="28">
        <f>B32+B42+B46+B66+B75+B77</f>
        <v>395624.10929115565</v>
      </c>
      <c r="C82" s="108"/>
      <c r="D82" s="93"/>
    </row>
    <row r="83" spans="1:4" s="103" customFormat="1" ht="15.75" x14ac:dyDescent="0.25">
      <c r="A83" s="122" t="s">
        <v>303</v>
      </c>
      <c r="B83" s="23">
        <f>B82*0.03</f>
        <v>11868.723278734669</v>
      </c>
      <c r="C83" s="108"/>
      <c r="D83" s="93"/>
    </row>
    <row r="84" spans="1:4" ht="15.75" x14ac:dyDescent="0.25">
      <c r="A84" s="123" t="s">
        <v>304</v>
      </c>
      <c r="B84" s="208">
        <f>B82+B83</f>
        <v>407492.83256989031</v>
      </c>
      <c r="C84" s="108"/>
      <c r="D84" s="93"/>
    </row>
    <row r="85" spans="1:4" s="79" customFormat="1" ht="16.5" thickBot="1" x14ac:dyDescent="0.3">
      <c r="A85" s="124" t="s">
        <v>305</v>
      </c>
      <c r="B85" s="240">
        <f>B84*0.2</f>
        <v>81498.566513978061</v>
      </c>
      <c r="C85" s="108"/>
      <c r="D85" s="93"/>
    </row>
    <row r="86" spans="1:4" s="79" customFormat="1" ht="16.5" thickBot="1" x14ac:dyDescent="0.3">
      <c r="A86" s="125" t="s">
        <v>306</v>
      </c>
      <c r="B86" s="66">
        <f>B84+B85</f>
        <v>488991.39908386837</v>
      </c>
      <c r="C86" s="89"/>
      <c r="D86" s="126"/>
    </row>
    <row r="87" spans="1:4" s="79" customFormat="1" ht="16.5" thickBot="1" x14ac:dyDescent="0.3">
      <c r="A87" s="127" t="s">
        <v>307</v>
      </c>
      <c r="B87" s="296">
        <f>B10+B24+B26+B28+B29-B86</f>
        <v>-905827.10908386833</v>
      </c>
      <c r="C87" s="128"/>
      <c r="D87" s="129"/>
    </row>
    <row r="88" spans="1:4" s="79" customFormat="1" ht="16.5" thickBot="1" x14ac:dyDescent="0.3">
      <c r="A88" s="130" t="s">
        <v>308</v>
      </c>
      <c r="B88" s="66">
        <f>B10+B25+B27+B28+B29-B86</f>
        <v>-909571.62908386835</v>
      </c>
      <c r="C88" s="131"/>
      <c r="D88" s="129"/>
    </row>
    <row r="89" spans="1:4" s="79" customFormat="1" ht="16.5" hidden="1" thickBot="1" x14ac:dyDescent="0.3">
      <c r="A89" s="132" t="s">
        <v>309</v>
      </c>
      <c r="B89" s="66">
        <f>B11+B24-B25</f>
        <v>-24584.75</v>
      </c>
      <c r="C89" s="129"/>
      <c r="D89" s="129"/>
    </row>
    <row r="90" spans="1:4" ht="15.75" x14ac:dyDescent="0.25">
      <c r="A90" s="133"/>
      <c r="B90" s="242"/>
      <c r="C90" s="129"/>
      <c r="D90" s="129"/>
    </row>
    <row r="91" spans="1:4" ht="15.75" x14ac:dyDescent="0.25">
      <c r="A91" s="134"/>
      <c r="B91" s="3"/>
      <c r="C91" s="77"/>
      <c r="D91" s="77"/>
    </row>
    <row r="92" spans="1:4" ht="15.75" x14ac:dyDescent="0.25">
      <c r="A92" s="323" t="s">
        <v>332</v>
      </c>
      <c r="B92" s="323"/>
      <c r="C92" s="77"/>
      <c r="D92" s="77"/>
    </row>
    <row r="93" spans="1:4" ht="15.75" x14ac:dyDescent="0.25">
      <c r="A93" s="134"/>
      <c r="B93" s="3"/>
      <c r="C93" s="77"/>
      <c r="D93" s="77"/>
    </row>
    <row r="94" spans="1:4" ht="15.75" hidden="1" x14ac:dyDescent="0.25">
      <c r="A94" s="324" t="s">
        <v>333</v>
      </c>
      <c r="B94" s="324"/>
      <c r="C94" s="135"/>
      <c r="D94" s="77"/>
    </row>
    <row r="95" spans="1:4" ht="15.75" x14ac:dyDescent="0.25">
      <c r="A95" s="77"/>
      <c r="B95" s="3"/>
      <c r="C95" s="77"/>
      <c r="D95" s="77"/>
    </row>
  </sheetData>
  <autoFilter ref="A31:G89" xr:uid="{00000000-0009-0000-0000-000044000000}">
    <filterColumn colId="1">
      <filters>
        <filter val="1 883,00"/>
        <filter val="11 483,75"/>
        <filter val="12 185,39"/>
        <filter val="12 831,54"/>
        <filter val="13 148,48"/>
        <filter val="14 179,25"/>
        <filter val="14 404,22"/>
        <filter val="163 959,96"/>
        <filter val="22 212,63"/>
        <filter val="26 721,38"/>
        <filter val="3 352,22"/>
        <filter val="3 409,00"/>
        <filter val="3 623,04"/>
        <filter val="32 688,20"/>
        <filter val="32 930,01"/>
        <filter val="34 316,86"/>
        <filter val="34 491,04"/>
        <filter val="4 083,93"/>
        <filter val="4 346,54"/>
        <filter val="427 717,94"/>
        <filter val="440 549,48"/>
        <filter val="45 237,17"/>
        <filter val="48 837,76"/>
        <filter val="528 659,37"/>
        <filter val="67 787,14"/>
        <filter val="-785 135,61"/>
        <filter val="-788 880,13"/>
        <filter val="8 982,99"/>
        <filter val="81 449,75"/>
        <filter val="83 486,80"/>
        <filter val="88 109,90"/>
        <filter val="9 084,19"/>
        <filter val="9 364,04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7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>
    <pageSetUpPr fitToPage="1"/>
  </sheetPr>
  <dimension ref="A1:H95"/>
  <sheetViews>
    <sheetView view="pageBreakPreview" topLeftCell="A31" zoomScale="80" zoomScaleNormal="100" zoomScaleSheetLayoutView="80" workbookViewId="0">
      <selection activeCell="B81" sqref="B81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  <col min="8" max="8" width="10.140625" bestFit="1" customWidth="1"/>
  </cols>
  <sheetData>
    <row r="1" spans="1:4" ht="16.5" customHeight="1" x14ac:dyDescent="0.25">
      <c r="A1" s="325" t="s">
        <v>224</v>
      </c>
      <c r="B1" s="325"/>
      <c r="C1" s="77"/>
      <c r="D1" s="77"/>
    </row>
    <row r="2" spans="1:4" ht="16.5" x14ac:dyDescent="0.25">
      <c r="A2" s="326" t="s">
        <v>225</v>
      </c>
      <c r="B2" s="326"/>
      <c r="C2" s="77"/>
      <c r="D2" s="77"/>
    </row>
    <row r="3" spans="1:4" ht="16.5" x14ac:dyDescent="0.25">
      <c r="A3" s="326" t="s">
        <v>226</v>
      </c>
      <c r="B3" s="326"/>
      <c r="C3" s="77"/>
      <c r="D3" s="77"/>
    </row>
    <row r="4" spans="1:4" ht="15.75" x14ac:dyDescent="0.25">
      <c r="A4" s="78" t="s">
        <v>516</v>
      </c>
      <c r="B4" s="78"/>
      <c r="C4" s="77"/>
      <c r="D4" s="77"/>
    </row>
    <row r="5" spans="1:4" ht="15.75" x14ac:dyDescent="0.25">
      <c r="A5" s="78" t="s">
        <v>29</v>
      </c>
      <c r="B5" s="78"/>
      <c r="C5" s="77"/>
      <c r="D5" s="77"/>
    </row>
    <row r="6" spans="1:4" ht="5.25" customHeight="1" x14ac:dyDescent="0.25">
      <c r="A6" s="78"/>
      <c r="B6" s="8"/>
      <c r="C6" s="79"/>
      <c r="D6" s="77"/>
    </row>
    <row r="7" spans="1:4" ht="16.5" thickBot="1" x14ac:dyDescent="0.3">
      <c r="A7" s="80"/>
      <c r="B7" s="8"/>
      <c r="C7" s="79"/>
      <c r="D7" s="77"/>
    </row>
    <row r="8" spans="1:4" ht="15.75" customHeight="1" x14ac:dyDescent="0.2">
      <c r="A8" s="327" t="s">
        <v>227</v>
      </c>
      <c r="B8" s="329" t="s">
        <v>228</v>
      </c>
      <c r="C8" s="331" t="s">
        <v>229</v>
      </c>
      <c r="D8" s="321" t="s">
        <v>230</v>
      </c>
    </row>
    <row r="9" spans="1:4" ht="28.5" customHeight="1" thickBot="1" x14ac:dyDescent="0.25">
      <c r="A9" s="328"/>
      <c r="B9" s="330"/>
      <c r="C9" s="332"/>
      <c r="D9" s="322"/>
    </row>
    <row r="10" spans="1:4" ht="16.5" thickBot="1" x14ac:dyDescent="0.25">
      <c r="A10" s="81" t="s">
        <v>231</v>
      </c>
      <c r="B10" s="302">
        <f>VLOOKUP(A5,мкд!S:T,2,FALSE)</f>
        <v>-621404.9</v>
      </c>
      <c r="C10" s="83"/>
      <c r="D10" s="84"/>
    </row>
    <row r="11" spans="1:4" ht="16.5" hidden="1" thickBot="1" x14ac:dyDescent="0.25">
      <c r="A11" s="85" t="s">
        <v>232</v>
      </c>
      <c r="B11" s="210"/>
      <c r="C11" s="84"/>
      <c r="D11" s="86"/>
    </row>
    <row r="12" spans="1:4" ht="16.5" thickBot="1" x14ac:dyDescent="0.3">
      <c r="A12" s="87" t="s">
        <v>233</v>
      </c>
      <c r="B12" s="217"/>
      <c r="C12" s="89" t="s">
        <v>234</v>
      </c>
      <c r="D12" s="90" t="s">
        <v>234</v>
      </c>
    </row>
    <row r="13" spans="1:4" ht="16.5" hidden="1" thickBot="1" x14ac:dyDescent="0.3">
      <c r="A13" s="91" t="s">
        <v>235</v>
      </c>
      <c r="B13" s="23">
        <v>1534.5</v>
      </c>
      <c r="C13" s="90" t="s">
        <v>234</v>
      </c>
      <c r="D13" s="92" t="s">
        <v>234</v>
      </c>
    </row>
    <row r="14" spans="1:4" ht="16.5" hidden="1" thickBot="1" x14ac:dyDescent="0.3">
      <c r="A14" s="91" t="s">
        <v>236</v>
      </c>
      <c r="B14" s="23">
        <v>0</v>
      </c>
      <c r="C14" s="93"/>
      <c r="D14" s="92"/>
    </row>
    <row r="15" spans="1:4" ht="16.5" hidden="1" thickBot="1" x14ac:dyDescent="0.3">
      <c r="A15" s="91" t="s">
        <v>237</v>
      </c>
      <c r="B15" s="23">
        <f>B13+B14</f>
        <v>1534.5</v>
      </c>
      <c r="C15" s="94"/>
      <c r="D15" s="95"/>
    </row>
    <row r="16" spans="1:4" ht="16.5" hidden="1" thickBot="1" x14ac:dyDescent="0.3">
      <c r="A16" s="91" t="s">
        <v>238</v>
      </c>
      <c r="B16" s="23">
        <f>1291.4+1637.1/3</f>
        <v>1837.1</v>
      </c>
      <c r="C16" s="96" t="s">
        <v>234</v>
      </c>
      <c r="D16" s="95" t="s">
        <v>234</v>
      </c>
    </row>
    <row r="17" spans="1:7" ht="16.5" hidden="1" thickBot="1" x14ac:dyDescent="0.3">
      <c r="A17" s="91" t="s">
        <v>239</v>
      </c>
      <c r="B17" s="23">
        <v>0</v>
      </c>
      <c r="C17" s="90" t="s">
        <v>234</v>
      </c>
      <c r="D17" s="92" t="s">
        <v>234</v>
      </c>
      <c r="E17" s="77"/>
      <c r="F17" s="77"/>
      <c r="G17" s="77"/>
    </row>
    <row r="18" spans="1:7" ht="16.5" hidden="1" thickBot="1" x14ac:dyDescent="0.3">
      <c r="A18" s="91" t="s">
        <v>240</v>
      </c>
      <c r="B18" s="23">
        <v>640.9</v>
      </c>
      <c r="C18" s="95" t="s">
        <v>234</v>
      </c>
      <c r="D18" s="92" t="s">
        <v>234</v>
      </c>
      <c r="E18" s="77"/>
      <c r="F18" s="77"/>
      <c r="G18" s="77"/>
    </row>
    <row r="19" spans="1:7" ht="16.5" hidden="1" thickBot="1" x14ac:dyDescent="0.3">
      <c r="A19" s="91" t="s">
        <v>241</v>
      </c>
      <c r="B19" s="23">
        <v>0</v>
      </c>
      <c r="C19" s="95" t="s">
        <v>234</v>
      </c>
      <c r="D19" s="92" t="s">
        <v>234</v>
      </c>
      <c r="E19" s="77"/>
      <c r="F19" s="77"/>
      <c r="G19" s="77"/>
    </row>
    <row r="20" spans="1:7" ht="16.5" hidden="1" thickBot="1" x14ac:dyDescent="0.3">
      <c r="A20" s="91" t="s">
        <v>242</v>
      </c>
      <c r="B20" s="23">
        <v>833</v>
      </c>
      <c r="C20" s="95"/>
      <c r="D20" s="92"/>
      <c r="E20" s="77"/>
      <c r="F20" s="77"/>
      <c r="G20" s="77"/>
    </row>
    <row r="21" spans="1:7" ht="16.5" hidden="1" thickBot="1" x14ac:dyDescent="0.3">
      <c r="A21" s="91" t="s">
        <v>243</v>
      </c>
      <c r="B21" s="23">
        <v>0</v>
      </c>
      <c r="C21" s="95" t="s">
        <v>234</v>
      </c>
      <c r="D21" s="92" t="s">
        <v>234</v>
      </c>
      <c r="E21" s="77"/>
      <c r="F21" s="77"/>
      <c r="G21" s="77"/>
    </row>
    <row r="22" spans="1:7" ht="16.5" hidden="1" thickBot="1" x14ac:dyDescent="0.3">
      <c r="A22" s="91" t="s">
        <v>244</v>
      </c>
      <c r="B22" s="23">
        <v>89</v>
      </c>
      <c r="C22" s="93"/>
      <c r="D22" s="92"/>
      <c r="E22" s="77"/>
      <c r="F22" s="77"/>
      <c r="G22" s="77"/>
    </row>
    <row r="23" spans="1:7" ht="15.75" x14ac:dyDescent="0.25">
      <c r="A23" s="91"/>
      <c r="B23" s="23"/>
      <c r="C23" s="94"/>
      <c r="D23" s="95"/>
      <c r="E23" s="77"/>
      <c r="F23" s="77"/>
      <c r="G23" s="77"/>
    </row>
    <row r="24" spans="1:7" ht="15.75" x14ac:dyDescent="0.25">
      <c r="A24" s="97" t="s">
        <v>319</v>
      </c>
      <c r="B24" s="28">
        <f>VLOOKUP(A5,[2]Лист1!M$1:N$65536,2,FALSE)</f>
        <v>325613.37000000005</v>
      </c>
      <c r="C24" s="92"/>
      <c r="D24" s="95"/>
      <c r="E24" s="26">
        <v>17.36</v>
      </c>
      <c r="F24" s="77"/>
      <c r="G24" s="77"/>
    </row>
    <row r="25" spans="1:7" ht="16.5" thickBot="1" x14ac:dyDescent="0.3">
      <c r="A25" s="97" t="s">
        <v>320</v>
      </c>
      <c r="B25" s="28">
        <f>VLOOKUP(A5,[2]Лист1!M$1:O$65536,3,FALSE)</f>
        <v>269364.33999999997</v>
      </c>
      <c r="C25" s="96"/>
      <c r="D25" s="95"/>
      <c r="E25" s="77"/>
      <c r="F25" s="77"/>
      <c r="G25" s="77"/>
    </row>
    <row r="26" spans="1:7" ht="16.5" hidden="1" thickBot="1" x14ac:dyDescent="0.3">
      <c r="A26" s="97" t="s">
        <v>321</v>
      </c>
      <c r="B26" s="28">
        <v>0</v>
      </c>
      <c r="C26" s="90"/>
      <c r="D26" s="92"/>
      <c r="E26" s="77"/>
      <c r="F26" s="77"/>
      <c r="G26" s="77"/>
    </row>
    <row r="27" spans="1:7" ht="16.5" hidden="1" thickBot="1" x14ac:dyDescent="0.3">
      <c r="A27" s="97" t="s">
        <v>248</v>
      </c>
      <c r="B27" s="28">
        <v>0</v>
      </c>
      <c r="C27" s="93"/>
      <c r="D27" s="92"/>
      <c r="E27" s="77"/>
      <c r="F27" s="77"/>
      <c r="G27" s="77"/>
    </row>
    <row r="28" spans="1:7" ht="16.5" thickBot="1" x14ac:dyDescent="0.3">
      <c r="A28" s="97" t="s">
        <v>249</v>
      </c>
      <c r="B28" s="28"/>
      <c r="C28" s="89"/>
      <c r="D28" s="95"/>
      <c r="E28" s="77"/>
      <c r="F28" s="77"/>
      <c r="G28" s="77"/>
    </row>
    <row r="29" spans="1:7" ht="16.5" hidden="1" thickBot="1" x14ac:dyDescent="0.3">
      <c r="A29" s="97" t="s">
        <v>250</v>
      </c>
      <c r="B29" s="28"/>
      <c r="C29" s="98"/>
      <c r="D29" s="92"/>
      <c r="E29" s="77"/>
      <c r="F29" s="77"/>
      <c r="G29" s="77"/>
    </row>
    <row r="30" spans="1:7" ht="15.75" x14ac:dyDescent="0.25">
      <c r="A30" s="99"/>
      <c r="B30" s="23"/>
      <c r="C30" s="94"/>
      <c r="D30" s="95"/>
      <c r="E30" s="77"/>
      <c r="F30" s="77"/>
      <c r="G30" s="77"/>
    </row>
    <row r="31" spans="1:7" ht="15.75" x14ac:dyDescent="0.25">
      <c r="A31" s="100" t="s">
        <v>251</v>
      </c>
      <c r="B31" s="23"/>
      <c r="C31" s="92"/>
      <c r="D31" s="95"/>
      <c r="E31" s="77"/>
      <c r="F31" s="77"/>
      <c r="G31" s="77"/>
    </row>
    <row r="32" spans="1:7" s="103" customFormat="1" ht="31.5" x14ac:dyDescent="0.25">
      <c r="A32" s="101" t="s">
        <v>252</v>
      </c>
      <c r="B32" s="208">
        <f>SUM(B33:B41)</f>
        <v>53667.679967366719</v>
      </c>
      <c r="C32" s="92"/>
      <c r="D32" s="95"/>
      <c r="E32" s="102">
        <f>(B86-B26-B24)/1.2/1.03</f>
        <v>104645.46865653229</v>
      </c>
      <c r="F32" s="102" t="e">
        <f>(#REF!-#REF!-#REF!)/1.2/1.03</f>
        <v>#REF!</v>
      </c>
      <c r="G32" s="102" t="e">
        <f>(#REF!-#REF!-#REF!)/1.2/1.03</f>
        <v>#REF!</v>
      </c>
    </row>
    <row r="33" spans="1:8" ht="16.5" thickBot="1" x14ac:dyDescent="0.3">
      <c r="A33" s="104" t="s">
        <v>253</v>
      </c>
      <c r="B33" s="23">
        <f>15198.6*1.1194</f>
        <v>17013.312839999999</v>
      </c>
      <c r="C33" s="96"/>
      <c r="D33" s="95">
        <v>25878.94</v>
      </c>
      <c r="E33" s="77"/>
      <c r="F33" s="77"/>
      <c r="G33" s="77"/>
      <c r="H33" s="77"/>
    </row>
    <row r="34" spans="1:8" ht="15.75" x14ac:dyDescent="0.25">
      <c r="A34" s="104" t="s">
        <v>506</v>
      </c>
      <c r="B34" s="23">
        <v>5281.1571273667578</v>
      </c>
      <c r="C34" s="90"/>
      <c r="D34" s="92">
        <v>0</v>
      </c>
      <c r="E34" s="77"/>
      <c r="F34" s="77"/>
      <c r="G34" s="77"/>
      <c r="H34" s="77"/>
    </row>
    <row r="35" spans="1:8" ht="15.75" x14ac:dyDescent="0.25">
      <c r="A35" s="104" t="s">
        <v>256</v>
      </c>
      <c r="B35" s="23">
        <v>29739.579999999965</v>
      </c>
      <c r="C35" s="95"/>
      <c r="D35" s="92">
        <v>0</v>
      </c>
      <c r="E35" s="77"/>
      <c r="F35" s="77"/>
      <c r="G35" s="77"/>
      <c r="H35" s="77"/>
    </row>
    <row r="36" spans="1:8" ht="15.75" hidden="1" x14ac:dyDescent="0.25">
      <c r="A36" s="104" t="s">
        <v>255</v>
      </c>
      <c r="B36" s="23">
        <v>0</v>
      </c>
      <c r="C36" s="95" t="s">
        <v>234</v>
      </c>
      <c r="D36" s="92">
        <v>0</v>
      </c>
      <c r="E36" s="77"/>
      <c r="F36" s="77"/>
      <c r="G36" s="77"/>
      <c r="H36" s="77"/>
    </row>
    <row r="37" spans="1:8" ht="15.75" hidden="1" x14ac:dyDescent="0.25">
      <c r="A37" s="104" t="s">
        <v>257</v>
      </c>
      <c r="B37" s="23"/>
      <c r="C37" s="95"/>
      <c r="D37" s="92">
        <v>0</v>
      </c>
      <c r="E37" s="77"/>
      <c r="F37" s="77"/>
      <c r="G37" s="77"/>
      <c r="H37" s="77"/>
    </row>
    <row r="38" spans="1:8" ht="15.75" hidden="1" x14ac:dyDescent="0.25">
      <c r="A38" s="104" t="s">
        <v>258</v>
      </c>
      <c r="B38" s="23">
        <v>0</v>
      </c>
      <c r="C38" s="95"/>
      <c r="D38" s="92">
        <v>0</v>
      </c>
      <c r="E38" s="77"/>
      <c r="F38" s="77"/>
      <c r="G38" s="77"/>
      <c r="H38" s="77"/>
    </row>
    <row r="39" spans="1:8" ht="15.75" hidden="1" x14ac:dyDescent="0.25">
      <c r="A39" s="104" t="s">
        <v>324</v>
      </c>
      <c r="B39" s="23">
        <v>0</v>
      </c>
      <c r="C39" s="95"/>
      <c r="D39" s="92">
        <v>0</v>
      </c>
      <c r="E39" s="77"/>
      <c r="F39" s="77"/>
      <c r="G39" s="77"/>
      <c r="H39" s="77"/>
    </row>
    <row r="40" spans="1:8" ht="16.5" thickBot="1" x14ac:dyDescent="0.3">
      <c r="A40" s="104" t="s">
        <v>342</v>
      </c>
      <c r="B40" s="23">
        <v>1633.63</v>
      </c>
      <c r="C40" s="95"/>
      <c r="D40" s="92"/>
      <c r="E40" s="77"/>
      <c r="F40" s="77"/>
      <c r="G40" s="77"/>
      <c r="H40" s="77"/>
    </row>
    <row r="41" spans="1:8" ht="16.5" hidden="1" thickBot="1" x14ac:dyDescent="0.3">
      <c r="A41" s="104" t="s">
        <v>313</v>
      </c>
      <c r="B41" s="23">
        <v>0</v>
      </c>
      <c r="C41" s="93"/>
      <c r="D41" s="92"/>
      <c r="E41" s="77"/>
      <c r="F41" s="77"/>
      <c r="G41" s="77"/>
      <c r="H41" s="77"/>
    </row>
    <row r="42" spans="1:8" s="103" customFormat="1" ht="48" thickBot="1" x14ac:dyDescent="0.3">
      <c r="A42" s="101" t="s">
        <v>325</v>
      </c>
      <c r="B42" s="208">
        <f>SUM(B43:B45)</f>
        <v>45172.075990433368</v>
      </c>
      <c r="C42" s="89"/>
      <c r="D42" s="95"/>
      <c r="E42" s="102"/>
      <c r="F42" s="102"/>
      <c r="G42" s="102"/>
    </row>
    <row r="43" spans="1:8" ht="15.75" hidden="1" x14ac:dyDescent="0.25">
      <c r="A43" s="104" t="s">
        <v>262</v>
      </c>
      <c r="B43" s="23"/>
      <c r="C43" s="98"/>
      <c r="D43" s="108"/>
      <c r="E43" s="77"/>
      <c r="F43" s="77"/>
      <c r="G43" s="77"/>
      <c r="H43" s="77"/>
    </row>
    <row r="44" spans="1:8" ht="15.75" x14ac:dyDescent="0.25">
      <c r="A44" s="104" t="s">
        <v>263</v>
      </c>
      <c r="B44" s="23">
        <v>35913.24287263328</v>
      </c>
      <c r="C44" s="93"/>
      <c r="D44" s="108"/>
      <c r="E44" s="77"/>
      <c r="F44" s="77"/>
      <c r="G44" s="77"/>
      <c r="H44" s="77"/>
    </row>
    <row r="45" spans="1:8" ht="16.5" thickBot="1" x14ac:dyDescent="0.3">
      <c r="A45" s="109" t="s">
        <v>264</v>
      </c>
      <c r="B45" s="23">
        <f>('[3]34тарифы'!D163*B15+130.01)*1.1194</f>
        <v>9258.8331178000844</v>
      </c>
      <c r="C45" s="93"/>
      <c r="D45" s="108"/>
      <c r="E45" s="77"/>
      <c r="F45" s="77"/>
      <c r="G45" s="77"/>
      <c r="H45" s="77"/>
    </row>
    <row r="46" spans="1:8" s="79" customFormat="1" ht="16.5" thickBot="1" x14ac:dyDescent="0.3">
      <c r="A46" s="101" t="s">
        <v>265</v>
      </c>
      <c r="B46" s="208">
        <f>SUM(B47:B65)</f>
        <v>20550.27</v>
      </c>
      <c r="C46" s="89"/>
      <c r="D46" s="95"/>
    </row>
    <row r="47" spans="1:8" ht="15.75" x14ac:dyDescent="0.25">
      <c r="A47" s="104" t="s">
        <v>326</v>
      </c>
      <c r="B47" s="283">
        <v>2691.72</v>
      </c>
      <c r="C47" s="90"/>
      <c r="D47" s="92"/>
      <c r="E47" s="77" t="s">
        <v>267</v>
      </c>
      <c r="F47" s="77"/>
      <c r="G47" s="77"/>
      <c r="H47" s="77"/>
    </row>
    <row r="48" spans="1:8" ht="15.75" x14ac:dyDescent="0.25">
      <c r="A48" s="104" t="s">
        <v>317</v>
      </c>
      <c r="B48" s="283">
        <v>3268.56</v>
      </c>
      <c r="C48" s="95"/>
      <c r="D48" s="92"/>
      <c r="E48" s="77" t="s">
        <v>269</v>
      </c>
      <c r="F48" s="77"/>
      <c r="G48" s="77"/>
      <c r="H48" s="272">
        <f>B46+557.87-B59</f>
        <v>21108.14</v>
      </c>
    </row>
    <row r="49" spans="1:7" ht="15.75" x14ac:dyDescent="0.25">
      <c r="A49" s="110" t="s">
        <v>282</v>
      </c>
      <c r="B49" s="23">
        <v>0</v>
      </c>
      <c r="C49" s="95"/>
      <c r="D49" s="92"/>
      <c r="E49" s="77"/>
      <c r="F49" s="77"/>
      <c r="G49" s="77"/>
    </row>
    <row r="50" spans="1:7" ht="15.75" hidden="1" x14ac:dyDescent="0.25">
      <c r="A50" s="110" t="s">
        <v>271</v>
      </c>
      <c r="B50" s="23">
        <v>0</v>
      </c>
      <c r="C50" s="95"/>
      <c r="D50" s="92">
        <v>4190</v>
      </c>
      <c r="E50" s="77"/>
      <c r="F50" s="77"/>
      <c r="G50" s="77"/>
    </row>
    <row r="51" spans="1:7" ht="15.75" hidden="1" x14ac:dyDescent="0.25">
      <c r="A51" s="110" t="s">
        <v>272</v>
      </c>
      <c r="B51" s="23">
        <v>0</v>
      </c>
      <c r="C51" s="95"/>
      <c r="D51" s="92"/>
      <c r="E51" s="77"/>
      <c r="F51" s="77"/>
      <c r="G51" s="272">
        <f>B46-B59+557.87</f>
        <v>21108.14</v>
      </c>
    </row>
    <row r="52" spans="1:7" ht="15.75" hidden="1" x14ac:dyDescent="0.25">
      <c r="A52" s="110" t="s">
        <v>273</v>
      </c>
      <c r="B52" s="23">
        <f>B21*'[3]34тарифы'!D177</f>
        <v>0</v>
      </c>
      <c r="C52" s="95"/>
      <c r="D52" s="92">
        <v>105.14</v>
      </c>
      <c r="E52" s="77"/>
      <c r="F52" s="77"/>
      <c r="G52" s="77"/>
    </row>
    <row r="53" spans="1:7" ht="15.75" hidden="1" x14ac:dyDescent="0.25">
      <c r="A53" s="110" t="s">
        <v>274</v>
      </c>
      <c r="B53" s="23">
        <v>0</v>
      </c>
      <c r="C53" s="95">
        <v>0</v>
      </c>
      <c r="D53" s="92">
        <v>522.99</v>
      </c>
      <c r="E53" s="77"/>
      <c r="F53" s="77"/>
      <c r="G53" s="77"/>
    </row>
    <row r="54" spans="1:7" ht="15.75" hidden="1" x14ac:dyDescent="0.25">
      <c r="A54" s="110" t="s">
        <v>275</v>
      </c>
      <c r="B54" s="23">
        <v>0</v>
      </c>
      <c r="C54" s="95">
        <v>0</v>
      </c>
      <c r="D54" s="111">
        <v>695.13</v>
      </c>
      <c r="E54" s="77"/>
      <c r="F54" s="77"/>
      <c r="G54" s="77"/>
    </row>
    <row r="55" spans="1:7" ht="15.75" hidden="1" x14ac:dyDescent="0.25">
      <c r="A55" s="110" t="s">
        <v>276</v>
      </c>
      <c r="B55" s="23">
        <v>0</v>
      </c>
      <c r="C55" s="95"/>
      <c r="D55" s="111"/>
      <c r="E55" s="77"/>
      <c r="F55" s="77"/>
      <c r="G55" s="77"/>
    </row>
    <row r="56" spans="1:7" ht="15.75" hidden="1" x14ac:dyDescent="0.25">
      <c r="A56" s="110" t="s">
        <v>277</v>
      </c>
      <c r="B56" s="23">
        <v>0</v>
      </c>
      <c r="C56" s="95">
        <v>0</v>
      </c>
      <c r="D56" s="92">
        <f>10695.76/1.18</f>
        <v>9064.203389830509</v>
      </c>
      <c r="E56" s="77"/>
      <c r="F56" s="77"/>
      <c r="G56" s="77"/>
    </row>
    <row r="57" spans="1:7" ht="15.75" hidden="1" x14ac:dyDescent="0.25">
      <c r="A57" s="110" t="s">
        <v>507</v>
      </c>
      <c r="B57" s="23"/>
      <c r="C57" s="95">
        <v>0</v>
      </c>
      <c r="D57" s="92">
        <f>2300/1.18</f>
        <v>1949.1525423728815</v>
      </c>
      <c r="E57" s="77"/>
      <c r="F57" s="77"/>
      <c r="G57" s="77"/>
    </row>
    <row r="58" spans="1:7" ht="15.75" x14ac:dyDescent="0.25">
      <c r="A58" s="110" t="s">
        <v>316</v>
      </c>
      <c r="B58" s="23">
        <v>0</v>
      </c>
      <c r="C58" s="93">
        <v>0</v>
      </c>
      <c r="D58" s="92">
        <v>0</v>
      </c>
      <c r="E58" s="77"/>
      <c r="F58" s="77"/>
      <c r="G58" s="77"/>
    </row>
    <row r="59" spans="1:7" ht="16.5" hidden="1" thickBot="1" x14ac:dyDescent="0.3">
      <c r="A59" s="110" t="s">
        <v>279</v>
      </c>
      <c r="B59" s="23">
        <f>B13*'[3]34тарифы'!D184</f>
        <v>0</v>
      </c>
      <c r="C59" s="89"/>
      <c r="D59" s="95"/>
      <c r="E59" s="77"/>
      <c r="F59" s="77"/>
      <c r="G59" s="77"/>
    </row>
    <row r="60" spans="1:7" ht="15.75" hidden="1" x14ac:dyDescent="0.25">
      <c r="A60" s="104" t="s">
        <v>280</v>
      </c>
      <c r="B60" s="23">
        <v>0</v>
      </c>
      <c r="C60" s="90"/>
      <c r="D60" s="92"/>
      <c r="E60" s="77"/>
      <c r="F60" s="77"/>
      <c r="G60" s="77"/>
    </row>
    <row r="61" spans="1:7" ht="15.75" hidden="1" x14ac:dyDescent="0.25">
      <c r="A61" s="104" t="s">
        <v>281</v>
      </c>
      <c r="B61" s="23">
        <v>0</v>
      </c>
      <c r="C61" s="95"/>
      <c r="D61" s="92">
        <v>41650</v>
      </c>
      <c r="E61" s="77"/>
      <c r="F61" s="77"/>
      <c r="G61" s="77"/>
    </row>
    <row r="62" spans="1:7" ht="15.75" hidden="1" x14ac:dyDescent="0.25">
      <c r="A62" s="104" t="s">
        <v>340</v>
      </c>
      <c r="B62" s="23">
        <v>0</v>
      </c>
      <c r="C62" s="95"/>
      <c r="D62" s="92">
        <v>0</v>
      </c>
      <c r="E62" s="77"/>
      <c r="F62" s="77"/>
      <c r="G62" s="77"/>
    </row>
    <row r="63" spans="1:7" ht="16.5" thickBot="1" x14ac:dyDescent="0.3">
      <c r="A63" s="104" t="s">
        <v>341</v>
      </c>
      <c r="B63" s="229">
        <v>14589.99</v>
      </c>
      <c r="C63" s="113">
        <v>1</v>
      </c>
      <c r="D63" s="92">
        <v>0</v>
      </c>
      <c r="E63" s="77"/>
      <c r="F63" s="77"/>
      <c r="G63" s="77"/>
    </row>
    <row r="64" spans="1:7" ht="16.5" hidden="1" thickBot="1" x14ac:dyDescent="0.3">
      <c r="A64" s="104" t="s">
        <v>284</v>
      </c>
      <c r="B64" s="229">
        <v>0</v>
      </c>
      <c r="C64" s="114">
        <v>36</v>
      </c>
      <c r="D64" s="95">
        <v>2</v>
      </c>
      <c r="E64" s="77">
        <v>1</v>
      </c>
      <c r="F64" s="77"/>
      <c r="G64" s="77"/>
    </row>
    <row r="65" spans="1:4" s="79" customFormat="1" ht="16.5" hidden="1" thickBot="1" x14ac:dyDescent="0.3">
      <c r="A65" s="104" t="s">
        <v>285</v>
      </c>
      <c r="B65" s="229">
        <v>0</v>
      </c>
      <c r="C65" s="115">
        <v>36</v>
      </c>
      <c r="D65" s="108">
        <f>650/1.18</f>
        <v>550.84745762711873</v>
      </c>
    </row>
    <row r="66" spans="1:4" s="79" customFormat="1" ht="16.5" thickBot="1" x14ac:dyDescent="0.3">
      <c r="A66" s="116" t="s">
        <v>286</v>
      </c>
      <c r="B66" s="208">
        <f>SUM(B67:B74)</f>
        <v>140945.74247807421</v>
      </c>
      <c r="C66" s="89"/>
      <c r="D66" s="93"/>
    </row>
    <row r="67" spans="1:4" ht="16.5" hidden="1" thickBot="1" x14ac:dyDescent="0.3">
      <c r="A67" s="104" t="s">
        <v>287</v>
      </c>
      <c r="B67" s="23">
        <v>0</v>
      </c>
      <c r="C67" s="98"/>
      <c r="D67" s="108"/>
    </row>
    <row r="68" spans="1:4" ht="16.5" thickBot="1" x14ac:dyDescent="0.3">
      <c r="A68" s="104" t="s">
        <v>288</v>
      </c>
      <c r="B68" s="23">
        <f>66940*1.04*1.1194</f>
        <v>77929.94144000001</v>
      </c>
      <c r="C68" s="89"/>
      <c r="D68" s="93"/>
    </row>
    <row r="69" spans="1:4" ht="15.75" hidden="1" x14ac:dyDescent="0.25">
      <c r="A69" s="104" t="s">
        <v>289</v>
      </c>
      <c r="B69" s="23">
        <v>0</v>
      </c>
      <c r="C69" s="98"/>
      <c r="D69" s="108"/>
    </row>
    <row r="70" spans="1:4" ht="16.5" thickBot="1" x14ac:dyDescent="0.3">
      <c r="A70" s="109" t="s">
        <v>290</v>
      </c>
      <c r="B70" s="23">
        <f>'[3]34тарифы'!D164*B13*1.1194</f>
        <v>1893.7376447382599</v>
      </c>
      <c r="C70" s="93"/>
      <c r="D70" s="108"/>
    </row>
    <row r="71" spans="1:4" ht="15.75" x14ac:dyDescent="0.25">
      <c r="A71" s="109" t="s">
        <v>291</v>
      </c>
      <c r="B71" s="23">
        <f>VLOOKUP(A71,[2]Лист1!S$1:T$65536,2,FALSE)*B15</f>
        <v>7096.9164680251552</v>
      </c>
      <c r="C71" s="117"/>
      <c r="D71" s="93"/>
    </row>
    <row r="72" spans="1:4" ht="15.75" x14ac:dyDescent="0.25">
      <c r="A72" s="109" t="s">
        <v>292</v>
      </c>
      <c r="B72" s="23">
        <f>VLOOKUP(A72,[2]Лист1!S$1:T$65536,2,FALSE)*B15</f>
        <v>24774.060749310778</v>
      </c>
      <c r="C72" s="108"/>
      <c r="D72" s="93"/>
    </row>
    <row r="73" spans="1:4" ht="15.75" x14ac:dyDescent="0.25">
      <c r="A73" s="41" t="s">
        <v>293</v>
      </c>
      <c r="B73" s="23">
        <f>2672*1.04*1.1194</f>
        <v>3110.6782720000001</v>
      </c>
      <c r="C73" s="108"/>
      <c r="D73" s="93"/>
    </row>
    <row r="74" spans="1:4" ht="15.75" x14ac:dyDescent="0.25">
      <c r="A74" s="109" t="s">
        <v>294</v>
      </c>
      <c r="B74" s="23">
        <f>22454*1.04*1.1194</f>
        <v>26140.407904</v>
      </c>
      <c r="C74" s="108"/>
      <c r="D74" s="93"/>
    </row>
    <row r="75" spans="1:4" ht="47.25" x14ac:dyDescent="0.25">
      <c r="A75" s="118" t="s">
        <v>328</v>
      </c>
      <c r="B75" s="208">
        <f>SUM(B76:B76)</f>
        <v>59421.871392000001</v>
      </c>
      <c r="C75" s="108"/>
      <c r="D75" s="93"/>
    </row>
    <row r="76" spans="1:4" ht="15.75" x14ac:dyDescent="0.25">
      <c r="A76" s="109" t="s">
        <v>296</v>
      </c>
      <c r="B76" s="23">
        <f>51042*1.04*1.1194</f>
        <v>59421.871392000001</v>
      </c>
      <c r="C76" s="108"/>
      <c r="D76" s="93"/>
    </row>
    <row r="77" spans="1:4" s="79" customFormat="1" ht="15.75" x14ac:dyDescent="0.25">
      <c r="A77" s="116" t="s">
        <v>297</v>
      </c>
      <c r="B77" s="208">
        <f>SUM(B78:B81)</f>
        <v>48329.066692735709</v>
      </c>
      <c r="C77" s="108"/>
      <c r="D77" s="93"/>
    </row>
    <row r="78" spans="1:4" ht="32.25" thickBot="1" x14ac:dyDescent="0.3">
      <c r="A78" s="119" t="s">
        <v>329</v>
      </c>
      <c r="B78" s="23">
        <f>'[3]34тарифы'!D170*B15*1.1194</f>
        <v>37013.655866224741</v>
      </c>
      <c r="C78" s="96"/>
      <c r="D78" s="93"/>
    </row>
    <row r="79" spans="1:4" ht="16.5" hidden="1" thickBot="1" x14ac:dyDescent="0.3">
      <c r="A79" s="51" t="s">
        <v>299</v>
      </c>
      <c r="B79" s="23">
        <f>(B26/1.2)*30%</f>
        <v>0</v>
      </c>
      <c r="C79" s="98"/>
      <c r="D79" s="108"/>
    </row>
    <row r="80" spans="1:4" ht="15.75" x14ac:dyDescent="0.25">
      <c r="A80" s="120" t="s">
        <v>330</v>
      </c>
      <c r="B80" s="23">
        <f>3196.75+4747.33</f>
        <v>7944.08</v>
      </c>
      <c r="C80" s="117"/>
      <c r="D80" s="93"/>
    </row>
    <row r="81" spans="1:4" ht="15.75" x14ac:dyDescent="0.25">
      <c r="A81" s="120" t="s">
        <v>331</v>
      </c>
      <c r="B81" s="23">
        <f>'[3]34тарифы'!D173*B13*1.1194</f>
        <v>3371.3308265109686</v>
      </c>
      <c r="C81" s="108"/>
      <c r="D81" s="93"/>
    </row>
    <row r="82" spans="1:4" ht="15.75" x14ac:dyDescent="0.25">
      <c r="A82" s="121" t="s">
        <v>302</v>
      </c>
      <c r="B82" s="28">
        <f>B32+B42+B46+B66+B75+B77</f>
        <v>368086.70652061002</v>
      </c>
      <c r="C82" s="108"/>
      <c r="D82" s="93"/>
    </row>
    <row r="83" spans="1:4" ht="15.75" x14ac:dyDescent="0.25">
      <c r="A83" s="122" t="s">
        <v>303</v>
      </c>
      <c r="B83" s="23">
        <f>B82*0.03</f>
        <v>11042.601195618301</v>
      </c>
      <c r="C83" s="108"/>
      <c r="D83" s="93"/>
    </row>
    <row r="84" spans="1:4" s="103" customFormat="1" ht="15.75" x14ac:dyDescent="0.25">
      <c r="A84" s="123" t="s">
        <v>304</v>
      </c>
      <c r="B84" s="208">
        <f>B82+B83</f>
        <v>379129.3077162283</v>
      </c>
      <c r="C84" s="108"/>
      <c r="D84" s="93"/>
    </row>
    <row r="85" spans="1:4" ht="16.5" thickBot="1" x14ac:dyDescent="0.3">
      <c r="A85" s="124" t="s">
        <v>305</v>
      </c>
      <c r="B85" s="240">
        <f>B84*0.2</f>
        <v>75825.861543245657</v>
      </c>
      <c r="C85" s="108"/>
      <c r="D85" s="93"/>
    </row>
    <row r="86" spans="1:4" s="79" customFormat="1" ht="16.5" thickBot="1" x14ac:dyDescent="0.3">
      <c r="A86" s="125" t="s">
        <v>306</v>
      </c>
      <c r="B86" s="66">
        <f>B84+B85</f>
        <v>454955.16925947397</v>
      </c>
      <c r="C86" s="89"/>
      <c r="D86" s="126"/>
    </row>
    <row r="87" spans="1:4" s="79" customFormat="1" ht="16.5" thickBot="1" x14ac:dyDescent="0.3">
      <c r="A87" s="127" t="s">
        <v>307</v>
      </c>
      <c r="B87" s="296">
        <f>B10+B24+B26+B28+B29-B86</f>
        <v>-750746.69925947394</v>
      </c>
      <c r="C87" s="128"/>
      <c r="D87" s="129"/>
    </row>
    <row r="88" spans="1:4" s="79" customFormat="1" ht="16.5" thickBot="1" x14ac:dyDescent="0.3">
      <c r="A88" s="130" t="s">
        <v>308</v>
      </c>
      <c r="B88" s="66">
        <f>B10+B25+B27+B28+B29-B86</f>
        <v>-806995.72925947397</v>
      </c>
      <c r="C88" s="131"/>
      <c r="D88" s="129"/>
    </row>
    <row r="89" spans="1:4" s="79" customFormat="1" ht="16.5" hidden="1" thickBot="1" x14ac:dyDescent="0.3">
      <c r="A89" s="132" t="s">
        <v>309</v>
      </c>
      <c r="B89" s="66">
        <f>B11+B24-B25</f>
        <v>56249.030000000086</v>
      </c>
      <c r="C89" s="129"/>
      <c r="D89" s="129"/>
    </row>
    <row r="90" spans="1:4" s="79" customFormat="1" ht="15.75" x14ac:dyDescent="0.25">
      <c r="A90" s="133"/>
      <c r="B90" s="242"/>
      <c r="C90" s="129"/>
      <c r="D90" s="129"/>
    </row>
    <row r="91" spans="1:4" ht="15.75" x14ac:dyDescent="0.25">
      <c r="A91" s="134"/>
      <c r="B91" s="3"/>
      <c r="C91" s="77"/>
      <c r="D91" s="77"/>
    </row>
    <row r="92" spans="1:4" ht="15.75" x14ac:dyDescent="0.25">
      <c r="A92" s="323" t="s">
        <v>332</v>
      </c>
      <c r="B92" s="323"/>
      <c r="C92" s="77"/>
      <c r="D92" s="77"/>
    </row>
    <row r="93" spans="1:4" ht="15.75" x14ac:dyDescent="0.25">
      <c r="A93" s="134"/>
      <c r="B93" s="3"/>
      <c r="C93" s="77"/>
      <c r="D93" s="77"/>
    </row>
    <row r="94" spans="1:4" ht="15.75" hidden="1" x14ac:dyDescent="0.25">
      <c r="A94" s="324" t="s">
        <v>333</v>
      </c>
      <c r="B94" s="324"/>
      <c r="C94" s="135"/>
      <c r="D94" s="77"/>
    </row>
    <row r="95" spans="1:4" ht="15.75" x14ac:dyDescent="0.25">
      <c r="A95" s="77"/>
      <c r="B95" s="3"/>
      <c r="C95" s="77"/>
      <c r="D95" s="77"/>
    </row>
  </sheetData>
  <autoFilter ref="A31:G89" xr:uid="{00000000-0009-0000-0000-000006000000}">
    <filterColumn colId="1">
      <filters>
        <filter val="1 633,63"/>
        <filter val="1 893,74"/>
        <filter val="11 156,58"/>
        <filter val="140 945,74"/>
        <filter val="16 684,70"/>
        <filter val="17 013,31"/>
        <filter val="2 691,72"/>
        <filter val="24 774,06"/>
        <filter val="26 140,41"/>
        <filter val="26 224,90"/>
        <filter val="29 739,58"/>
        <filter val="3 110,68"/>
        <filter val="3 268,56"/>
        <filter val="3 371,33"/>
        <filter val="3 526,92"/>
        <filter val="35 913,24"/>
        <filter val="37 013,66"/>
        <filter val="371 885,95"/>
        <filter val="383 042,53"/>
        <filter val="45 172,08"/>
        <filter val="459 651,04"/>
        <filter val="46 453,69"/>
        <filter val="5 281,16"/>
        <filter val="53 667,68"/>
        <filter val="53,00"/>
        <filter val="59 421,87"/>
        <filter val="6 068,70"/>
        <filter val="-621 404,90"/>
        <filter val="-677 653,93"/>
        <filter val="7 096,92"/>
        <filter val="76 608,51"/>
        <filter val="77 929,94"/>
        <filter val="9 258,83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83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pageSetUpPr fitToPage="1"/>
  </sheetPr>
  <dimension ref="A1:G95"/>
  <sheetViews>
    <sheetView view="pageBreakPreview" topLeftCell="A42" zoomScale="75" zoomScaleNormal="100" zoomScaleSheetLayoutView="75" workbookViewId="0">
      <selection activeCell="B81" sqref="B81"/>
    </sheetView>
  </sheetViews>
  <sheetFormatPr defaultRowHeight="12.75" x14ac:dyDescent="0.2"/>
  <cols>
    <col min="1" max="1" width="96.42578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13" t="s">
        <v>224</v>
      </c>
      <c r="B1" s="313"/>
      <c r="C1" s="3"/>
      <c r="D1" s="3"/>
    </row>
    <row r="2" spans="1:4" ht="16.5" x14ac:dyDescent="0.25">
      <c r="A2" s="315" t="s">
        <v>225</v>
      </c>
      <c r="B2" s="315"/>
      <c r="C2" s="3"/>
      <c r="D2" s="3"/>
    </row>
    <row r="3" spans="1:4" ht="16.5" x14ac:dyDescent="0.25">
      <c r="A3" s="315" t="s">
        <v>226</v>
      </c>
      <c r="B3" s="315"/>
      <c r="C3" s="3"/>
      <c r="D3" s="3"/>
    </row>
    <row r="4" spans="1:4" ht="15.75" x14ac:dyDescent="0.25">
      <c r="A4" s="4" t="s">
        <v>516</v>
      </c>
      <c r="B4" s="4"/>
      <c r="C4" s="3"/>
      <c r="D4" s="3"/>
    </row>
    <row r="5" spans="1:4" ht="15.75" x14ac:dyDescent="0.25">
      <c r="A5" s="4" t="s">
        <v>160</v>
      </c>
      <c r="B5" s="4"/>
      <c r="C5" s="3"/>
      <c r="D5" s="3"/>
    </row>
    <row r="6" spans="1:4" ht="5.25" customHeight="1" x14ac:dyDescent="0.25">
      <c r="A6" s="4"/>
      <c r="B6" s="8"/>
      <c r="C6" s="8"/>
      <c r="D6" s="3"/>
    </row>
    <row r="7" spans="1:4" ht="16.5" thickBot="1" x14ac:dyDescent="0.3">
      <c r="A7" s="9"/>
      <c r="B7" s="8"/>
      <c r="C7" s="8"/>
      <c r="D7" s="3"/>
    </row>
    <row r="8" spans="1:4" ht="15.75" customHeight="1" x14ac:dyDescent="0.2">
      <c r="A8" s="335" t="s">
        <v>227</v>
      </c>
      <c r="B8" s="337" t="s">
        <v>228</v>
      </c>
      <c r="C8" s="307" t="s">
        <v>229</v>
      </c>
      <c r="D8" s="307" t="s">
        <v>230</v>
      </c>
    </row>
    <row r="9" spans="1:4" ht="28.5" customHeight="1" thickBot="1" x14ac:dyDescent="0.25">
      <c r="A9" s="336"/>
      <c r="B9" s="338"/>
      <c r="C9" s="308"/>
      <c r="D9" s="308"/>
    </row>
    <row r="10" spans="1:4" s="212" customFormat="1" ht="16.5" thickBot="1" x14ac:dyDescent="0.3">
      <c r="A10" s="209" t="s">
        <v>231</v>
      </c>
      <c r="B10" s="304">
        <f>VLOOKUP(A5,мкд!S:T,2,FALSE)</f>
        <v>-556511.71</v>
      </c>
      <c r="C10" s="211"/>
      <c r="D10" s="211"/>
    </row>
    <row r="11" spans="1:4" s="212" customFormat="1" ht="16.5" hidden="1" thickBot="1" x14ac:dyDescent="0.3">
      <c r="A11" s="213" t="s">
        <v>232</v>
      </c>
      <c r="B11" s="243"/>
      <c r="C11" s="215"/>
      <c r="D11" s="215"/>
    </row>
    <row r="12" spans="1:4" ht="15.75" x14ac:dyDescent="0.25">
      <c r="A12" s="216" t="s">
        <v>233</v>
      </c>
      <c r="B12" s="217"/>
      <c r="C12" s="17" t="s">
        <v>234</v>
      </c>
      <c r="D12" s="18" t="s">
        <v>234</v>
      </c>
    </row>
    <row r="13" spans="1:4" ht="15.75" hidden="1" x14ac:dyDescent="0.25">
      <c r="A13" s="182" t="s">
        <v>235</v>
      </c>
      <c r="B13" s="20">
        <v>3547.1</v>
      </c>
      <c r="C13" s="21" t="s">
        <v>234</v>
      </c>
      <c r="D13" s="22" t="s">
        <v>234</v>
      </c>
    </row>
    <row r="14" spans="1:4" ht="15.75" hidden="1" x14ac:dyDescent="0.25">
      <c r="A14" s="182" t="s">
        <v>236</v>
      </c>
      <c r="B14" s="20">
        <v>0</v>
      </c>
      <c r="C14" s="21"/>
      <c r="D14" s="22"/>
    </row>
    <row r="15" spans="1:4" ht="15.75" x14ac:dyDescent="0.25">
      <c r="A15" s="219" t="s">
        <v>237</v>
      </c>
      <c r="B15" s="23">
        <f>B13+B14</f>
        <v>3547.1</v>
      </c>
      <c r="C15" s="21"/>
      <c r="D15" s="22"/>
    </row>
    <row r="16" spans="1:4" ht="15.75" x14ac:dyDescent="0.25">
      <c r="A16" s="219" t="s">
        <v>238</v>
      </c>
      <c r="B16" s="23">
        <f>1291.8+2156.6/3</f>
        <v>2010.6666666666665</v>
      </c>
      <c r="C16" s="21" t="s">
        <v>234</v>
      </c>
      <c r="D16" s="22" t="s">
        <v>234</v>
      </c>
    </row>
    <row r="17" spans="1:7" ht="15.75" hidden="1" x14ac:dyDescent="0.25">
      <c r="A17" s="182" t="s">
        <v>239</v>
      </c>
      <c r="B17" s="20">
        <v>0</v>
      </c>
      <c r="C17" s="21" t="s">
        <v>234</v>
      </c>
      <c r="D17" s="22" t="s">
        <v>234</v>
      </c>
      <c r="E17" s="3"/>
      <c r="F17" s="3"/>
      <c r="G17" s="3"/>
    </row>
    <row r="18" spans="1:7" ht="15.75" hidden="1" x14ac:dyDescent="0.25">
      <c r="A18" s="182" t="s">
        <v>240</v>
      </c>
      <c r="B18" s="20">
        <v>874</v>
      </c>
      <c r="C18" s="21" t="s">
        <v>234</v>
      </c>
      <c r="D18" s="22" t="s">
        <v>234</v>
      </c>
      <c r="E18" s="3"/>
      <c r="F18" s="3"/>
      <c r="G18" s="3"/>
    </row>
    <row r="19" spans="1:7" ht="15.75" hidden="1" x14ac:dyDescent="0.25">
      <c r="A19" s="182" t="s">
        <v>241</v>
      </c>
      <c r="B19" s="20">
        <v>864</v>
      </c>
      <c r="C19" s="21" t="s">
        <v>234</v>
      </c>
      <c r="D19" s="22" t="s">
        <v>234</v>
      </c>
      <c r="E19" s="3"/>
      <c r="F19" s="3"/>
      <c r="G19" s="3"/>
    </row>
    <row r="20" spans="1:7" ht="15.75" hidden="1" x14ac:dyDescent="0.25">
      <c r="A20" s="182" t="s">
        <v>242</v>
      </c>
      <c r="B20" s="20">
        <v>1140</v>
      </c>
      <c r="C20" s="21"/>
      <c r="D20" s="22"/>
      <c r="E20" s="3"/>
      <c r="F20" s="3"/>
      <c r="G20" s="3"/>
    </row>
    <row r="21" spans="1:7" ht="15.75" hidden="1" x14ac:dyDescent="0.25">
      <c r="A21" s="182" t="s">
        <v>243</v>
      </c>
      <c r="B21" s="20">
        <v>0</v>
      </c>
      <c r="C21" s="21" t="s">
        <v>234</v>
      </c>
      <c r="D21" s="22" t="s">
        <v>234</v>
      </c>
      <c r="E21" s="3"/>
      <c r="F21" s="3"/>
      <c r="G21" s="3"/>
    </row>
    <row r="22" spans="1:7" ht="15.75" hidden="1" x14ac:dyDescent="0.25">
      <c r="A22" s="182" t="s">
        <v>244</v>
      </c>
      <c r="B22" s="20">
        <v>182</v>
      </c>
      <c r="C22" s="21"/>
      <c r="D22" s="22"/>
      <c r="E22" s="3"/>
      <c r="F22" s="3"/>
      <c r="G22" s="3"/>
    </row>
    <row r="23" spans="1:7" ht="15.75" x14ac:dyDescent="0.25">
      <c r="A23" s="219"/>
      <c r="B23" s="23"/>
      <c r="C23" s="21"/>
      <c r="D23" s="22"/>
      <c r="E23" s="3">
        <v>10</v>
      </c>
      <c r="F23" s="3">
        <v>2</v>
      </c>
      <c r="G23" s="3"/>
    </row>
    <row r="24" spans="1:7" ht="15.75" x14ac:dyDescent="0.25">
      <c r="A24" s="220" t="s">
        <v>319</v>
      </c>
      <c r="B24" s="28">
        <f>VLOOKUP(A5,'[5]Лист  1'!M$1:N$65536,2,FALSE)</f>
        <v>651221.1</v>
      </c>
      <c r="C24" s="21"/>
      <c r="D24" s="22"/>
      <c r="E24" s="3">
        <v>15</v>
      </c>
      <c r="F24" s="3">
        <v>16.791</v>
      </c>
      <c r="G24" s="3"/>
    </row>
    <row r="25" spans="1:7" ht="15.75" x14ac:dyDescent="0.25">
      <c r="A25" s="220" t="s">
        <v>320</v>
      </c>
      <c r="B25" s="28">
        <f>VLOOKUP(A5,'[5]Лист  1'!M$1:O$65536,3,FALSE)</f>
        <v>646780.7300000001</v>
      </c>
      <c r="C25" s="21"/>
      <c r="D25" s="22"/>
      <c r="E25" s="3"/>
      <c r="F25" s="3"/>
      <c r="G25" s="3"/>
    </row>
    <row r="26" spans="1:7" ht="15.75" hidden="1" x14ac:dyDescent="0.25">
      <c r="A26" s="220" t="s">
        <v>353</v>
      </c>
      <c r="B26" s="28"/>
      <c r="C26" s="21"/>
      <c r="D26" s="22"/>
      <c r="E26" s="3"/>
      <c r="F26" s="3"/>
      <c r="G26" s="3"/>
    </row>
    <row r="27" spans="1:7" ht="15.75" hidden="1" x14ac:dyDescent="0.25">
      <c r="A27" s="220" t="s">
        <v>354</v>
      </c>
      <c r="B27" s="28"/>
      <c r="C27" s="21"/>
      <c r="D27" s="22"/>
      <c r="E27" s="3"/>
      <c r="F27" s="3"/>
      <c r="G27" s="3"/>
    </row>
    <row r="28" spans="1:7" ht="15.75" x14ac:dyDescent="0.25">
      <c r="A28" s="220" t="s">
        <v>399</v>
      </c>
      <c r="B28" s="28">
        <v>7611.96</v>
      </c>
      <c r="C28" s="21"/>
      <c r="D28" s="22"/>
      <c r="E28" s="3"/>
      <c r="F28" s="3"/>
      <c r="G28" s="3"/>
    </row>
    <row r="29" spans="1:7" ht="15.75" hidden="1" x14ac:dyDescent="0.25">
      <c r="A29" s="220" t="s">
        <v>250</v>
      </c>
      <c r="B29" s="23"/>
      <c r="C29" s="21"/>
      <c r="D29" s="22"/>
      <c r="E29" s="3"/>
      <c r="F29" s="3"/>
      <c r="G29" s="3"/>
    </row>
    <row r="30" spans="1:7" ht="15.75" x14ac:dyDescent="0.25">
      <c r="A30" s="221"/>
      <c r="B30" s="23"/>
      <c r="C30" s="21"/>
      <c r="D30" s="22"/>
      <c r="E30" s="3"/>
      <c r="F30" s="3"/>
      <c r="G30" s="3"/>
    </row>
    <row r="31" spans="1:7" ht="15.75" x14ac:dyDescent="0.25">
      <c r="A31" s="222" t="s">
        <v>251</v>
      </c>
      <c r="B31" s="23"/>
      <c r="C31" s="21"/>
      <c r="D31" s="22"/>
      <c r="E31" s="3"/>
      <c r="F31" s="3"/>
      <c r="G31" s="3"/>
    </row>
    <row r="32" spans="1:7" s="34" customFormat="1" ht="31.5" x14ac:dyDescent="0.25">
      <c r="A32" s="223" t="s">
        <v>252</v>
      </c>
      <c r="B32" s="208">
        <f>SUM(B33:B41)</f>
        <v>32652</v>
      </c>
      <c r="C32" s="21"/>
      <c r="D32" s="22"/>
      <c r="E32" s="33">
        <f>(B86-B24-B26)/1.2/1.03</f>
        <v>83427.550596585614</v>
      </c>
      <c r="F32" s="33" t="e">
        <f>(#REF!-#REF!-#REF!)/1.2/1.03</f>
        <v>#REF!</v>
      </c>
      <c r="G32" s="33" t="e">
        <f>(#REF!-#REF!-#REF!)/1.2/1.03</f>
        <v>#REF!</v>
      </c>
    </row>
    <row r="33" spans="1:7" ht="15.75" x14ac:dyDescent="0.25">
      <c r="A33" s="224" t="s">
        <v>253</v>
      </c>
      <c r="B33" s="23">
        <v>32652</v>
      </c>
      <c r="C33" s="21"/>
      <c r="D33" s="22">
        <v>37308.6</v>
      </c>
      <c r="E33" s="3"/>
      <c r="F33" s="3"/>
      <c r="G33" s="3"/>
    </row>
    <row r="34" spans="1:7" ht="15.75" hidden="1" x14ac:dyDescent="0.25">
      <c r="A34" s="225" t="s">
        <v>400</v>
      </c>
      <c r="B34" s="20"/>
      <c r="C34" s="21"/>
      <c r="D34" s="22">
        <v>0</v>
      </c>
      <c r="E34" s="3"/>
      <c r="F34" s="3"/>
      <c r="G34" s="3"/>
    </row>
    <row r="35" spans="1:7" ht="15.75" hidden="1" x14ac:dyDescent="0.25">
      <c r="A35" s="225" t="s">
        <v>256</v>
      </c>
      <c r="B35" s="20"/>
      <c r="C35" s="21"/>
      <c r="D35" s="22">
        <v>0</v>
      </c>
      <c r="E35" s="3"/>
      <c r="F35" s="3"/>
      <c r="G35" s="3"/>
    </row>
    <row r="36" spans="1:7" ht="15.75" hidden="1" x14ac:dyDescent="0.25">
      <c r="A36" s="224" t="s">
        <v>255</v>
      </c>
      <c r="B36" s="23"/>
      <c r="C36" s="21" t="s">
        <v>234</v>
      </c>
      <c r="D36" s="22">
        <v>0</v>
      </c>
      <c r="E36" s="3"/>
      <c r="F36" s="3"/>
      <c r="G36" s="3"/>
    </row>
    <row r="37" spans="1:7" ht="15.75" hidden="1" x14ac:dyDescent="0.25">
      <c r="A37" s="225" t="s">
        <v>257</v>
      </c>
      <c r="B37" s="20"/>
      <c r="C37" s="21"/>
      <c r="D37" s="22">
        <v>0</v>
      </c>
      <c r="E37" s="3"/>
      <c r="F37" s="3"/>
      <c r="G37" s="3"/>
    </row>
    <row r="38" spans="1:7" ht="15.75" hidden="1" x14ac:dyDescent="0.25">
      <c r="A38" s="224" t="s">
        <v>258</v>
      </c>
      <c r="B38" s="23"/>
      <c r="C38" s="21"/>
      <c r="D38" s="22">
        <v>0</v>
      </c>
      <c r="E38" s="3"/>
      <c r="F38" s="3"/>
      <c r="G38" s="3"/>
    </row>
    <row r="39" spans="1:7" ht="15.75" hidden="1" x14ac:dyDescent="0.25">
      <c r="A39" s="187" t="s">
        <v>259</v>
      </c>
      <c r="B39" s="20"/>
      <c r="C39" s="21"/>
      <c r="D39" s="22">
        <v>0</v>
      </c>
      <c r="E39" s="3"/>
      <c r="F39" s="3"/>
      <c r="G39" s="3"/>
    </row>
    <row r="40" spans="1:7" ht="15.75" hidden="1" x14ac:dyDescent="0.25">
      <c r="A40" s="187" t="s">
        <v>312</v>
      </c>
      <c r="B40" s="20"/>
      <c r="C40" s="21"/>
      <c r="D40" s="22"/>
      <c r="E40" s="3"/>
      <c r="F40" s="3"/>
      <c r="G40" s="3"/>
    </row>
    <row r="41" spans="1:7" ht="15.75" hidden="1" x14ac:dyDescent="0.25">
      <c r="A41" s="35" t="s">
        <v>409</v>
      </c>
      <c r="B41" s="23"/>
      <c r="C41" s="21"/>
      <c r="D41" s="22"/>
      <c r="E41" s="3"/>
      <c r="F41" s="3"/>
      <c r="G41" s="3"/>
    </row>
    <row r="42" spans="1:7" s="34" customFormat="1" ht="47.25" x14ac:dyDescent="0.25">
      <c r="A42" s="223" t="s">
        <v>401</v>
      </c>
      <c r="B42" s="208">
        <f>SUM(B43:B45)</f>
        <v>78631.674716511508</v>
      </c>
      <c r="C42" s="21"/>
      <c r="D42" s="22"/>
      <c r="E42" s="33"/>
      <c r="F42" s="33"/>
      <c r="G42" s="33"/>
    </row>
    <row r="43" spans="1:7" ht="15.75" x14ac:dyDescent="0.25">
      <c r="A43" s="35" t="s">
        <v>262</v>
      </c>
      <c r="B43" s="23">
        <v>59430.28</v>
      </c>
      <c r="C43" s="39"/>
      <c r="D43" s="40"/>
      <c r="E43" s="3"/>
      <c r="F43" s="3"/>
      <c r="G43" s="3"/>
    </row>
    <row r="44" spans="1:7" ht="15.75" x14ac:dyDescent="0.25">
      <c r="A44" s="35" t="s">
        <v>263</v>
      </c>
      <c r="B44" s="23"/>
      <c r="C44" s="39"/>
      <c r="D44" s="40"/>
      <c r="E44" s="3"/>
      <c r="F44" s="3"/>
      <c r="G44" s="3"/>
    </row>
    <row r="45" spans="1:7" ht="15.75" x14ac:dyDescent="0.25">
      <c r="A45" s="226" t="s">
        <v>264</v>
      </c>
      <c r="B45" s="23">
        <f>'[6]32тарифы'!D163*B15+341.41*1.12</f>
        <v>19201.394716511506</v>
      </c>
      <c r="C45" s="39"/>
      <c r="D45" s="40"/>
      <c r="E45" s="3"/>
      <c r="F45" s="3"/>
      <c r="G45" s="3"/>
    </row>
    <row r="46" spans="1:7" s="8" customFormat="1" ht="15.75" x14ac:dyDescent="0.25">
      <c r="A46" s="223" t="s">
        <v>265</v>
      </c>
      <c r="B46" s="208">
        <f>SUM(B47:B65)</f>
        <v>44124.95</v>
      </c>
      <c r="C46" s="21"/>
      <c r="D46" s="22"/>
    </row>
    <row r="47" spans="1:7" ht="15.75" x14ac:dyDescent="0.25">
      <c r="A47" s="224" t="s">
        <v>326</v>
      </c>
      <c r="B47" s="23">
        <v>3670.8</v>
      </c>
      <c r="C47" s="21"/>
      <c r="D47" s="22"/>
      <c r="E47" s="3" t="s">
        <v>267</v>
      </c>
      <c r="F47" s="3"/>
      <c r="G47" s="3"/>
    </row>
    <row r="48" spans="1:7" ht="15.75" x14ac:dyDescent="0.25">
      <c r="A48" s="224" t="s">
        <v>317</v>
      </c>
      <c r="B48" s="23">
        <v>4457.3999999999996</v>
      </c>
      <c r="C48" s="21"/>
      <c r="D48" s="22"/>
      <c r="E48" s="3" t="s">
        <v>269</v>
      </c>
      <c r="F48" s="3"/>
      <c r="G48" s="3"/>
    </row>
    <row r="49" spans="1:5" ht="15.75" hidden="1" x14ac:dyDescent="0.25">
      <c r="A49" s="143" t="s">
        <v>270</v>
      </c>
      <c r="B49" s="23"/>
      <c r="C49" s="21"/>
      <c r="D49" s="22"/>
      <c r="E49" s="3"/>
    </row>
    <row r="50" spans="1:5" ht="15.75" hidden="1" x14ac:dyDescent="0.25">
      <c r="A50" s="228" t="s">
        <v>380</v>
      </c>
      <c r="B50" s="20"/>
      <c r="C50" s="21"/>
      <c r="D50" s="22"/>
      <c r="E50" s="3"/>
    </row>
    <row r="51" spans="1:5" ht="15.75" hidden="1" x14ac:dyDescent="0.25">
      <c r="A51" s="143" t="s">
        <v>272</v>
      </c>
      <c r="B51" s="23"/>
      <c r="C51" s="21"/>
      <c r="D51" s="22"/>
      <c r="E51" s="3"/>
    </row>
    <row r="52" spans="1:5" ht="15.75" hidden="1" x14ac:dyDescent="0.25">
      <c r="A52" s="143" t="s">
        <v>316</v>
      </c>
      <c r="B52" s="23">
        <f>B21*'[6]32тарифы'!D177</f>
        <v>0</v>
      </c>
      <c r="C52" s="21"/>
      <c r="D52" s="22">
        <v>105.14</v>
      </c>
      <c r="E52" s="3"/>
    </row>
    <row r="53" spans="1:5" ht="15.75" hidden="1" x14ac:dyDescent="0.25">
      <c r="A53" s="228" t="s">
        <v>274</v>
      </c>
      <c r="B53" s="20">
        <v>0</v>
      </c>
      <c r="C53" s="21">
        <v>0</v>
      </c>
      <c r="D53" s="22">
        <v>522.99</v>
      </c>
      <c r="E53" s="3"/>
    </row>
    <row r="54" spans="1:5" ht="15.75" x14ac:dyDescent="0.25">
      <c r="A54" s="188" t="s">
        <v>275</v>
      </c>
      <c r="B54" s="20">
        <v>8133.61</v>
      </c>
      <c r="C54" s="21">
        <v>1</v>
      </c>
      <c r="D54" s="44">
        <v>695.13</v>
      </c>
      <c r="E54" s="3"/>
    </row>
    <row r="55" spans="1:5" ht="15.75" hidden="1" x14ac:dyDescent="0.25">
      <c r="A55" s="143" t="s">
        <v>412</v>
      </c>
      <c r="B55" s="23"/>
      <c r="C55" s="21"/>
      <c r="D55" s="44"/>
      <c r="E55" s="3"/>
    </row>
    <row r="56" spans="1:5" ht="15.75" hidden="1" x14ac:dyDescent="0.25">
      <c r="A56" s="143" t="s">
        <v>277</v>
      </c>
      <c r="B56" s="23"/>
      <c r="C56" s="21">
        <v>0</v>
      </c>
      <c r="D56" s="22">
        <f>10695.76/1.18</f>
        <v>9064.203389830509</v>
      </c>
      <c r="E56" s="3"/>
    </row>
    <row r="57" spans="1:5" ht="15.75" hidden="1" x14ac:dyDescent="0.25">
      <c r="A57" s="143" t="s">
        <v>380</v>
      </c>
      <c r="B57" s="23"/>
      <c r="C57" s="21">
        <v>0</v>
      </c>
      <c r="D57" s="22">
        <f>2300/1.18</f>
        <v>1949.1525423728815</v>
      </c>
      <c r="E57" s="3"/>
    </row>
    <row r="58" spans="1:5" ht="15.75" hidden="1" x14ac:dyDescent="0.25">
      <c r="A58" s="228" t="s">
        <v>416</v>
      </c>
      <c r="B58" s="20"/>
      <c r="C58" s="21">
        <v>0</v>
      </c>
      <c r="D58" s="22">
        <v>0</v>
      </c>
      <c r="E58" s="3"/>
    </row>
    <row r="59" spans="1:5" ht="15.75" hidden="1" x14ac:dyDescent="0.25">
      <c r="A59" s="228" t="s">
        <v>279</v>
      </c>
      <c r="B59" s="20">
        <f>B13*'[6]32тарифы'!D184</f>
        <v>0</v>
      </c>
      <c r="C59" s="21"/>
      <c r="D59" s="22"/>
      <c r="E59" s="3"/>
    </row>
    <row r="60" spans="1:5" ht="15.75" customHeight="1" x14ac:dyDescent="0.25">
      <c r="A60" s="187" t="s">
        <v>417</v>
      </c>
      <c r="B60" s="20">
        <v>145.34</v>
      </c>
      <c r="C60" s="21"/>
      <c r="D60" s="22"/>
      <c r="E60" s="3"/>
    </row>
    <row r="61" spans="1:5" ht="15.75" x14ac:dyDescent="0.25">
      <c r="A61" s="187" t="s">
        <v>542</v>
      </c>
      <c r="B61" s="20">
        <v>4200</v>
      </c>
      <c r="C61" s="21"/>
      <c r="D61" s="22">
        <v>0</v>
      </c>
      <c r="E61" s="227">
        <f>B80+B46-B59+496.31</f>
        <v>59619.869999999995</v>
      </c>
    </row>
    <row r="62" spans="1:5" ht="15.75" hidden="1" x14ac:dyDescent="0.25">
      <c r="A62" s="225" t="s">
        <v>418</v>
      </c>
      <c r="B62" s="20"/>
      <c r="C62" s="21"/>
      <c r="D62" s="22">
        <v>0</v>
      </c>
      <c r="E62" s="3"/>
    </row>
    <row r="63" spans="1:5" ht="15.75" x14ac:dyDescent="0.25">
      <c r="A63" s="224" t="s">
        <v>405</v>
      </c>
      <c r="B63" s="229">
        <v>23517.8</v>
      </c>
      <c r="C63" s="46">
        <v>1</v>
      </c>
      <c r="D63" s="22">
        <v>0</v>
      </c>
      <c r="E63" s="3"/>
    </row>
    <row r="64" spans="1:5" ht="15.75" hidden="1" x14ac:dyDescent="0.25">
      <c r="A64" s="187" t="s">
        <v>348</v>
      </c>
      <c r="B64" s="112"/>
      <c r="C64" s="46">
        <v>80</v>
      </c>
      <c r="D64" s="22">
        <v>2</v>
      </c>
      <c r="E64" s="3">
        <v>1</v>
      </c>
    </row>
    <row r="65" spans="1:4" ht="15.75" hidden="1" x14ac:dyDescent="0.25">
      <c r="A65" s="187" t="s">
        <v>346</v>
      </c>
      <c r="B65" s="112"/>
      <c r="C65" s="48"/>
      <c r="D65" s="40">
        <v>0</v>
      </c>
    </row>
    <row r="66" spans="1:4" s="8" customFormat="1" ht="15.75" x14ac:dyDescent="0.25">
      <c r="A66" s="230" t="s">
        <v>286</v>
      </c>
      <c r="B66" s="208">
        <f>SUM(B67:B74)</f>
        <v>225779.73729204238</v>
      </c>
      <c r="C66" s="39"/>
      <c r="D66" s="40"/>
    </row>
    <row r="67" spans="1:4" ht="15.75" hidden="1" x14ac:dyDescent="0.25">
      <c r="A67" s="187" t="s">
        <v>287</v>
      </c>
      <c r="B67" s="20"/>
      <c r="C67" s="39"/>
      <c r="D67" s="40"/>
    </row>
    <row r="68" spans="1:4" ht="15.75" x14ac:dyDescent="0.25">
      <c r="A68" s="224" t="s">
        <v>288</v>
      </c>
      <c r="B68" s="232">
        <f>76320*1.04*1.12</f>
        <v>88897.536000000007</v>
      </c>
      <c r="C68" s="39"/>
      <c r="D68" s="40"/>
    </row>
    <row r="69" spans="1:4" ht="15.75" hidden="1" x14ac:dyDescent="0.25">
      <c r="A69" s="187" t="s">
        <v>289</v>
      </c>
      <c r="B69" s="20"/>
      <c r="C69" s="39"/>
      <c r="D69" s="40"/>
    </row>
    <row r="70" spans="1:4" ht="15.75" x14ac:dyDescent="0.25">
      <c r="A70" s="226" t="s">
        <v>290</v>
      </c>
      <c r="B70" s="23">
        <f>'[6]32тарифы'!D164*B13*1.12</f>
        <v>4379.8483347129022</v>
      </c>
      <c r="C70" s="39"/>
      <c r="D70" s="40"/>
    </row>
    <row r="71" spans="1:4" ht="15.75" x14ac:dyDescent="0.25">
      <c r="A71" s="226" t="s">
        <v>291</v>
      </c>
      <c r="B71" s="23">
        <f>'[6]32тарифы'!D165*B15*1.12</f>
        <v>22683.964749721672</v>
      </c>
      <c r="C71" s="39"/>
      <c r="D71" s="40"/>
    </row>
    <row r="72" spans="1:4" ht="15.75" x14ac:dyDescent="0.25">
      <c r="A72" s="226" t="s">
        <v>292</v>
      </c>
      <c r="B72" s="23">
        <f>1.04*36228.0315455833*1.12</f>
        <v>42198.411144295431</v>
      </c>
      <c r="C72" s="39"/>
      <c r="D72" s="40"/>
    </row>
    <row r="73" spans="1:4" ht="15.75" x14ac:dyDescent="0.25">
      <c r="A73" s="226" t="s">
        <v>293</v>
      </c>
      <c r="B73" s="23">
        <f>1.04*6147.25930692487*1.12</f>
        <v>7160.3276407060885</v>
      </c>
      <c r="C73" s="39"/>
      <c r="D73" s="40"/>
    </row>
    <row r="74" spans="1:4" ht="15.75" x14ac:dyDescent="0.25">
      <c r="A74" s="226" t="s">
        <v>294</v>
      </c>
      <c r="B74" s="23">
        <f>1.04*51905.6056169353*1.12</f>
        <v>60459.64942260625</v>
      </c>
      <c r="C74" s="39"/>
      <c r="D74" s="40"/>
    </row>
    <row r="75" spans="1:4" ht="63" x14ac:dyDescent="0.25">
      <c r="A75" s="233" t="s">
        <v>295</v>
      </c>
      <c r="B75" s="208">
        <f>SUM(B76:B76)</f>
        <v>120715.84000000001</v>
      </c>
      <c r="C75" s="39"/>
      <c r="D75" s="40"/>
    </row>
    <row r="76" spans="1:4" ht="15.75" x14ac:dyDescent="0.25">
      <c r="A76" s="226" t="s">
        <v>296</v>
      </c>
      <c r="B76" s="23">
        <f>107782*1.12</f>
        <v>120715.84000000001</v>
      </c>
      <c r="C76" s="39"/>
      <c r="D76" s="40"/>
    </row>
    <row r="77" spans="1:4" s="8" customFormat="1" ht="15.75" x14ac:dyDescent="0.25">
      <c r="A77" s="230" t="s">
        <v>297</v>
      </c>
      <c r="B77" s="208">
        <f>SUM(B78:B81)</f>
        <v>108401.26120939094</v>
      </c>
      <c r="C77" s="39"/>
      <c r="D77" s="40"/>
    </row>
    <row r="78" spans="1:4" ht="15.75" x14ac:dyDescent="0.25">
      <c r="A78" s="234" t="s">
        <v>298</v>
      </c>
      <c r="B78" s="23">
        <f>'[6]32тарифы'!D170*B15*1.12</f>
        <v>85605.416071098502</v>
      </c>
      <c r="C78" s="39"/>
      <c r="D78" s="40"/>
    </row>
    <row r="79" spans="1:4" ht="15.75" x14ac:dyDescent="0.25">
      <c r="A79" s="234" t="s">
        <v>299</v>
      </c>
      <c r="B79" s="232">
        <f>(B26/1.2)*30%</f>
        <v>0</v>
      </c>
      <c r="C79" s="39"/>
      <c r="D79" s="40"/>
    </row>
    <row r="80" spans="1:4" ht="15.75" x14ac:dyDescent="0.25">
      <c r="A80" s="235" t="s">
        <v>300</v>
      </c>
      <c r="B80" s="23">
        <f>7522.27+7476.34</f>
        <v>14998.61</v>
      </c>
      <c r="C80" s="39"/>
      <c r="D80" s="40"/>
    </row>
    <row r="81" spans="1:4" ht="15.75" x14ac:dyDescent="0.25">
      <c r="A81" s="235" t="s">
        <v>301</v>
      </c>
      <c r="B81" s="23">
        <f>'[6]32тарифы'!D173*B13*1.12</f>
        <v>7797.2351382924462</v>
      </c>
      <c r="C81" s="39"/>
      <c r="D81" s="40"/>
    </row>
    <row r="82" spans="1:4" ht="15.75" x14ac:dyDescent="0.25">
      <c r="A82" s="236" t="s">
        <v>302</v>
      </c>
      <c r="B82" s="28">
        <f>B32+B42+B46+B66+B75+B77</f>
        <v>610305.46321794484</v>
      </c>
      <c r="C82" s="39"/>
      <c r="D82" s="40"/>
    </row>
    <row r="83" spans="1:4" ht="15.75" x14ac:dyDescent="0.25">
      <c r="A83" s="237" t="s">
        <v>303</v>
      </c>
      <c r="B83" s="23">
        <f>B82*0.03</f>
        <v>18309.163896538343</v>
      </c>
      <c r="C83" s="39"/>
      <c r="D83" s="40"/>
    </row>
    <row r="84" spans="1:4" s="34" customFormat="1" ht="15.75" x14ac:dyDescent="0.25">
      <c r="A84" s="238" t="s">
        <v>304</v>
      </c>
      <c r="B84" s="208">
        <f>B82+B83</f>
        <v>628614.62711448316</v>
      </c>
      <c r="C84" s="39"/>
      <c r="D84" s="40"/>
    </row>
    <row r="85" spans="1:4" ht="16.5" thickBot="1" x14ac:dyDescent="0.3">
      <c r="A85" s="239" t="s">
        <v>305</v>
      </c>
      <c r="B85" s="240">
        <f>B84*0.2</f>
        <v>125722.92542289663</v>
      </c>
      <c r="C85" s="39"/>
      <c r="D85" s="40"/>
    </row>
    <row r="86" spans="1:4" s="8" customFormat="1" ht="16.5" thickBot="1" x14ac:dyDescent="0.3">
      <c r="A86" s="58" t="s">
        <v>306</v>
      </c>
      <c r="B86" s="66">
        <f>B84+B85</f>
        <v>754337.55253737979</v>
      </c>
      <c r="C86" s="60"/>
      <c r="D86" s="61"/>
    </row>
    <row r="87" spans="1:4" s="8" customFormat="1" ht="16.5" thickBot="1" x14ac:dyDescent="0.3">
      <c r="A87" s="62" t="s">
        <v>307</v>
      </c>
      <c r="B87" s="296">
        <f>B10+B24+B26+B28+B29-B86</f>
        <v>-652016.20253737981</v>
      </c>
      <c r="C87" s="63"/>
      <c r="D87" s="63"/>
    </row>
    <row r="88" spans="1:4" s="8" customFormat="1" ht="16.5" thickBot="1" x14ac:dyDescent="0.3">
      <c r="A88" s="64" t="s">
        <v>308</v>
      </c>
      <c r="B88" s="66">
        <f>B10+B25+B27+B28+B29-B86</f>
        <v>-656456.57253737969</v>
      </c>
      <c r="C88" s="63"/>
      <c r="D88" s="63"/>
    </row>
    <row r="89" spans="1:4" s="8" customFormat="1" ht="16.5" hidden="1" thickBot="1" x14ac:dyDescent="0.3">
      <c r="A89" s="241" t="s">
        <v>309</v>
      </c>
      <c r="B89" s="66">
        <f>B11+B24-B25</f>
        <v>4440.3699999998789</v>
      </c>
      <c r="C89" s="63"/>
      <c r="D89" s="63"/>
    </row>
    <row r="90" spans="1:4" ht="15.75" x14ac:dyDescent="0.25">
      <c r="A90" s="3"/>
      <c r="B90" s="227"/>
      <c r="C90" s="3"/>
      <c r="D90" s="3"/>
    </row>
    <row r="91" spans="1:4" ht="15.75" x14ac:dyDescent="0.25">
      <c r="A91" s="69"/>
      <c r="B91" s="3"/>
      <c r="C91" s="3"/>
      <c r="D91" s="3"/>
    </row>
    <row r="92" spans="1:4" ht="15.75" x14ac:dyDescent="0.25">
      <c r="A92" s="333" t="s">
        <v>407</v>
      </c>
      <c r="B92" s="333"/>
      <c r="C92" s="3"/>
      <c r="D92" s="3"/>
    </row>
    <row r="93" spans="1:4" ht="15.75" x14ac:dyDescent="0.25">
      <c r="A93" s="69"/>
      <c r="B93" s="3"/>
      <c r="C93" s="3"/>
      <c r="D93" s="3"/>
    </row>
    <row r="94" spans="1:4" ht="15.75" hidden="1" x14ac:dyDescent="0.25">
      <c r="A94" s="342" t="s">
        <v>408</v>
      </c>
      <c r="B94" s="342"/>
      <c r="C94" s="72"/>
      <c r="D94" s="3"/>
    </row>
    <row r="95" spans="1:4" ht="15.75" x14ac:dyDescent="0.25">
      <c r="A95" s="3"/>
      <c r="B95" s="3"/>
      <c r="C95" s="3"/>
      <c r="D95" s="3"/>
    </row>
  </sheetData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83"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pageSetUpPr fitToPage="1"/>
  </sheetPr>
  <dimension ref="A1:G95"/>
  <sheetViews>
    <sheetView view="pageBreakPreview" topLeftCell="A42" zoomScale="75" zoomScaleNormal="100" zoomScaleSheetLayoutView="75" workbookViewId="0">
      <selection activeCell="E95" sqref="E95"/>
    </sheetView>
  </sheetViews>
  <sheetFormatPr defaultRowHeight="12.75" x14ac:dyDescent="0.2"/>
  <cols>
    <col min="1" max="1" width="96.42578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4" bestFit="1" customWidth="1"/>
  </cols>
  <sheetData>
    <row r="1" spans="1:4" ht="16.5" customHeight="1" x14ac:dyDescent="0.25">
      <c r="A1" s="313" t="s">
        <v>224</v>
      </c>
      <c r="B1" s="313"/>
      <c r="C1" s="3"/>
      <c r="D1" s="3"/>
    </row>
    <row r="2" spans="1:4" ht="16.5" x14ac:dyDescent="0.25">
      <c r="A2" s="315" t="s">
        <v>225</v>
      </c>
      <c r="B2" s="315"/>
      <c r="C2" s="3"/>
      <c r="D2" s="3"/>
    </row>
    <row r="3" spans="1:4" ht="16.5" x14ac:dyDescent="0.25">
      <c r="A3" s="315" t="s">
        <v>226</v>
      </c>
      <c r="B3" s="315"/>
      <c r="C3" s="3"/>
      <c r="D3" s="3"/>
    </row>
    <row r="4" spans="1:4" ht="15.75" x14ac:dyDescent="0.25">
      <c r="A4" s="4" t="s">
        <v>516</v>
      </c>
      <c r="B4" s="4"/>
      <c r="C4" s="3"/>
      <c r="D4" s="3"/>
    </row>
    <row r="5" spans="1:4" ht="15.75" x14ac:dyDescent="0.25">
      <c r="A5" s="4" t="s">
        <v>161</v>
      </c>
      <c r="B5" s="4"/>
      <c r="C5" s="3"/>
      <c r="D5" s="3"/>
    </row>
    <row r="6" spans="1:4" ht="5.25" customHeight="1" x14ac:dyDescent="0.25">
      <c r="A6" s="4"/>
      <c r="B6" s="8"/>
      <c r="C6" s="8"/>
      <c r="D6" s="3"/>
    </row>
    <row r="7" spans="1:4" ht="16.5" thickBot="1" x14ac:dyDescent="0.3">
      <c r="A7" s="9"/>
      <c r="B7" s="8"/>
      <c r="C7" s="8"/>
      <c r="D7" s="3"/>
    </row>
    <row r="8" spans="1:4" ht="15.75" customHeight="1" x14ac:dyDescent="0.2">
      <c r="A8" s="335" t="s">
        <v>227</v>
      </c>
      <c r="B8" s="337" t="s">
        <v>228</v>
      </c>
      <c r="C8" s="307" t="s">
        <v>229</v>
      </c>
      <c r="D8" s="307" t="s">
        <v>230</v>
      </c>
    </row>
    <row r="9" spans="1:4" ht="28.5" customHeight="1" thickBot="1" x14ac:dyDescent="0.25">
      <c r="A9" s="336"/>
      <c r="B9" s="338"/>
      <c r="C9" s="308"/>
      <c r="D9" s="308"/>
    </row>
    <row r="10" spans="1:4" s="212" customFormat="1" ht="16.5" thickBot="1" x14ac:dyDescent="0.3">
      <c r="A10" s="209" t="s">
        <v>231</v>
      </c>
      <c r="B10" s="302">
        <f>VLOOKUP(A5,мкд!S:T,2,FALSE)</f>
        <v>-636429.01</v>
      </c>
      <c r="C10" s="211"/>
      <c r="D10" s="211"/>
    </row>
    <row r="11" spans="1:4" s="212" customFormat="1" ht="16.5" hidden="1" thickBot="1" x14ac:dyDescent="0.3">
      <c r="A11" s="213" t="s">
        <v>232</v>
      </c>
      <c r="B11" s="214"/>
      <c r="C11" s="215"/>
      <c r="D11" s="215"/>
    </row>
    <row r="12" spans="1:4" ht="15.75" x14ac:dyDescent="0.25">
      <c r="A12" s="216" t="s">
        <v>233</v>
      </c>
      <c r="B12" s="217"/>
      <c r="C12" s="17" t="s">
        <v>234</v>
      </c>
      <c r="D12" s="18" t="s">
        <v>234</v>
      </c>
    </row>
    <row r="13" spans="1:4" ht="15.75" hidden="1" x14ac:dyDescent="0.25">
      <c r="A13" s="182" t="s">
        <v>235</v>
      </c>
      <c r="B13" s="20">
        <v>1485.6</v>
      </c>
      <c r="C13" s="218" t="s">
        <v>234</v>
      </c>
      <c r="D13" s="22" t="s">
        <v>234</v>
      </c>
    </row>
    <row r="14" spans="1:4" ht="15.75" hidden="1" x14ac:dyDescent="0.25">
      <c r="A14" s="182" t="s">
        <v>236</v>
      </c>
      <c r="B14" s="20">
        <v>137.69999999999999</v>
      </c>
      <c r="C14" s="218"/>
      <c r="D14" s="22"/>
    </row>
    <row r="15" spans="1:4" ht="15.75" x14ac:dyDescent="0.25">
      <c r="A15" s="219" t="s">
        <v>237</v>
      </c>
      <c r="B15" s="23">
        <f>B13+B14</f>
        <v>1623.3</v>
      </c>
      <c r="C15" s="21"/>
      <c r="D15" s="22"/>
    </row>
    <row r="16" spans="1:4" ht="15.75" x14ac:dyDescent="0.25">
      <c r="A16" s="219" t="s">
        <v>238</v>
      </c>
      <c r="B16" s="23">
        <f>798.7+1762.2/3</f>
        <v>1386.1</v>
      </c>
      <c r="C16" s="21" t="s">
        <v>234</v>
      </c>
      <c r="D16" s="22" t="s">
        <v>234</v>
      </c>
    </row>
    <row r="17" spans="1:7" ht="15.75" hidden="1" x14ac:dyDescent="0.25">
      <c r="A17" s="182" t="s">
        <v>239</v>
      </c>
      <c r="B17" s="20">
        <v>0</v>
      </c>
      <c r="C17" s="218" t="s">
        <v>234</v>
      </c>
      <c r="D17" s="22" t="s">
        <v>234</v>
      </c>
      <c r="E17" s="3"/>
      <c r="F17" s="3"/>
      <c r="G17" s="3"/>
    </row>
    <row r="18" spans="1:7" ht="15.75" hidden="1" x14ac:dyDescent="0.25">
      <c r="A18" s="182" t="s">
        <v>240</v>
      </c>
      <c r="B18" s="20">
        <v>450</v>
      </c>
      <c r="C18" s="218" t="s">
        <v>234</v>
      </c>
      <c r="D18" s="22" t="s">
        <v>234</v>
      </c>
      <c r="E18" s="3"/>
      <c r="F18" s="3"/>
      <c r="G18" s="3"/>
    </row>
    <row r="19" spans="1:7" ht="15.75" hidden="1" x14ac:dyDescent="0.25">
      <c r="A19" s="182" t="s">
        <v>241</v>
      </c>
      <c r="B19" s="20">
        <v>864</v>
      </c>
      <c r="C19" s="218" t="s">
        <v>234</v>
      </c>
      <c r="D19" s="22" t="s">
        <v>234</v>
      </c>
      <c r="E19" s="3"/>
      <c r="F19" s="3"/>
      <c r="G19" s="3"/>
    </row>
    <row r="20" spans="1:7" ht="15.75" hidden="1" x14ac:dyDescent="0.25">
      <c r="A20" s="182" t="s">
        <v>242</v>
      </c>
      <c r="B20" s="20">
        <v>1148</v>
      </c>
      <c r="C20" s="218"/>
      <c r="D20" s="22"/>
      <c r="E20" s="3"/>
      <c r="F20" s="3"/>
      <c r="G20" s="3"/>
    </row>
    <row r="21" spans="1:7" ht="15.75" hidden="1" x14ac:dyDescent="0.25">
      <c r="A21" s="182" t="s">
        <v>243</v>
      </c>
      <c r="B21" s="20">
        <v>0</v>
      </c>
      <c r="C21" s="218" t="s">
        <v>234</v>
      </c>
      <c r="D21" s="22" t="s">
        <v>234</v>
      </c>
      <c r="E21" s="3"/>
      <c r="F21" s="3"/>
      <c r="G21" s="3"/>
    </row>
    <row r="22" spans="1:7" ht="15.75" hidden="1" x14ac:dyDescent="0.25">
      <c r="A22" s="182" t="s">
        <v>244</v>
      </c>
      <c r="B22" s="20">
        <v>86</v>
      </c>
      <c r="C22" s="218"/>
      <c r="D22" s="22"/>
      <c r="E22" s="3"/>
      <c r="F22" s="3"/>
      <c r="G22" s="3"/>
    </row>
    <row r="23" spans="1:7" ht="15.75" x14ac:dyDescent="0.25">
      <c r="A23" s="219"/>
      <c r="B23" s="23"/>
      <c r="C23" s="21"/>
      <c r="D23" s="244"/>
      <c r="E23" s="245">
        <v>10</v>
      </c>
      <c r="F23" s="245">
        <v>2</v>
      </c>
      <c r="G23" s="3"/>
    </row>
    <row r="24" spans="1:7" ht="15.75" x14ac:dyDescent="0.25">
      <c r="A24" s="220" t="s">
        <v>319</v>
      </c>
      <c r="B24" s="28">
        <f>VLOOKUP(A5,'[5]Лист  1'!M$1:N$65536,2,FALSE)</f>
        <v>318864.10000000003</v>
      </c>
      <c r="C24" s="21"/>
      <c r="D24" s="244"/>
      <c r="E24" s="245">
        <v>18</v>
      </c>
      <c r="F24" s="245">
        <v>20.1492</v>
      </c>
      <c r="G24" s="3"/>
    </row>
    <row r="25" spans="1:7" ht="15.75" x14ac:dyDescent="0.25">
      <c r="A25" s="220" t="s">
        <v>320</v>
      </c>
      <c r="B25" s="28">
        <f>VLOOKUP(A5,'[5]Лист  1'!M$1:O$65536,3,FALSE)</f>
        <v>300036.29000000004</v>
      </c>
      <c r="C25" s="21"/>
      <c r="D25" s="22"/>
      <c r="E25" s="3"/>
      <c r="F25" s="3"/>
      <c r="G25" s="3"/>
    </row>
    <row r="26" spans="1:7" ht="15.75" hidden="1" x14ac:dyDescent="0.25">
      <c r="A26" s="220" t="s">
        <v>353</v>
      </c>
      <c r="B26" s="28"/>
      <c r="C26" s="21"/>
      <c r="D26" s="22"/>
      <c r="E26" s="3"/>
      <c r="F26" s="3"/>
      <c r="G26" s="3"/>
    </row>
    <row r="27" spans="1:7" ht="15.75" x14ac:dyDescent="0.25">
      <c r="A27" s="220" t="s">
        <v>354</v>
      </c>
      <c r="B27" s="28">
        <v>28966</v>
      </c>
      <c r="C27" s="21"/>
      <c r="D27" s="22"/>
      <c r="E27" s="3"/>
      <c r="F27" s="3"/>
      <c r="G27" s="3"/>
    </row>
    <row r="28" spans="1:7" ht="15.75" hidden="1" x14ac:dyDescent="0.25">
      <c r="A28" s="220" t="s">
        <v>399</v>
      </c>
      <c r="B28" s="28"/>
      <c r="C28" s="21"/>
      <c r="D28" s="22"/>
      <c r="E28" s="3"/>
      <c r="F28" s="3"/>
      <c r="G28" s="3"/>
    </row>
    <row r="29" spans="1:7" ht="15.75" hidden="1" x14ac:dyDescent="0.25">
      <c r="A29" s="220" t="s">
        <v>250</v>
      </c>
      <c r="B29" s="23"/>
      <c r="C29" s="21"/>
      <c r="D29" s="22"/>
      <c r="E29" s="3"/>
      <c r="F29" s="3"/>
      <c r="G29" s="3"/>
    </row>
    <row r="30" spans="1:7" ht="15.75" x14ac:dyDescent="0.25">
      <c r="A30" s="221"/>
      <c r="B30" s="23"/>
      <c r="C30" s="21"/>
      <c r="D30" s="22"/>
      <c r="E30" s="3"/>
      <c r="F30" s="3"/>
      <c r="G30" s="3"/>
    </row>
    <row r="31" spans="1:7" ht="15.75" x14ac:dyDescent="0.25">
      <c r="A31" s="222" t="s">
        <v>251</v>
      </c>
      <c r="B31" s="23"/>
      <c r="C31" s="21"/>
      <c r="D31" s="22"/>
      <c r="E31" s="3"/>
      <c r="F31" s="3"/>
      <c r="G31" s="3"/>
    </row>
    <row r="32" spans="1:7" s="34" customFormat="1" ht="31.5" x14ac:dyDescent="0.25">
      <c r="A32" s="223" t="s">
        <v>252</v>
      </c>
      <c r="B32" s="208">
        <f>SUM(B33:B41)</f>
        <v>46863.289999999994</v>
      </c>
      <c r="C32" s="21"/>
      <c r="D32" s="22"/>
      <c r="E32" s="33">
        <f>(B86-B24-B26)/1.2/1.03</f>
        <v>138436.85500370589</v>
      </c>
      <c r="F32" s="33" t="e">
        <f>(#REF!-#REF!-#REF!)/1.2/1.03</f>
        <v>#REF!</v>
      </c>
      <c r="G32" s="33" t="e">
        <f>(#REF!-#REF!-#REF!)/1.2/1.03</f>
        <v>#REF!</v>
      </c>
    </row>
    <row r="33" spans="1:7" ht="15.75" x14ac:dyDescent="0.25">
      <c r="A33" s="224" t="s">
        <v>253</v>
      </c>
      <c r="B33" s="23">
        <v>25931.599999999999</v>
      </c>
      <c r="C33" s="21"/>
      <c r="D33" s="22">
        <v>43887.93</v>
      </c>
      <c r="E33" s="3"/>
      <c r="F33" s="3"/>
      <c r="G33" s="3"/>
    </row>
    <row r="34" spans="1:7" ht="15.75" x14ac:dyDescent="0.25">
      <c r="A34" s="225" t="s">
        <v>322</v>
      </c>
      <c r="B34" s="20">
        <v>20931.689999999999</v>
      </c>
      <c r="C34" s="218"/>
      <c r="D34" s="22">
        <v>0</v>
      </c>
      <c r="E34" s="3"/>
      <c r="F34" s="3"/>
      <c r="G34" s="3"/>
    </row>
    <row r="35" spans="1:7" ht="15.75" hidden="1" x14ac:dyDescent="0.25">
      <c r="A35" s="225" t="s">
        <v>256</v>
      </c>
      <c r="B35" s="20"/>
      <c r="C35" s="218"/>
      <c r="D35" s="22">
        <v>0</v>
      </c>
      <c r="E35" s="3"/>
      <c r="F35" s="3"/>
      <c r="G35" s="3"/>
    </row>
    <row r="36" spans="1:7" ht="15.75" hidden="1" x14ac:dyDescent="0.25">
      <c r="A36" s="224" t="s">
        <v>255</v>
      </c>
      <c r="B36" s="23"/>
      <c r="C36" s="21" t="s">
        <v>234</v>
      </c>
      <c r="D36" s="22">
        <v>0</v>
      </c>
      <c r="E36" s="3"/>
      <c r="F36" s="3"/>
      <c r="G36" s="3"/>
    </row>
    <row r="37" spans="1:7" ht="15.75" hidden="1" x14ac:dyDescent="0.25">
      <c r="A37" s="225" t="s">
        <v>400</v>
      </c>
      <c r="B37" s="20"/>
      <c r="C37" s="218"/>
      <c r="D37" s="22">
        <v>0</v>
      </c>
      <c r="E37" s="3"/>
      <c r="F37" s="3"/>
      <c r="G37" s="3"/>
    </row>
    <row r="38" spans="1:7" ht="15.75" hidden="1" x14ac:dyDescent="0.25">
      <c r="A38" s="224" t="s">
        <v>258</v>
      </c>
      <c r="B38" s="23"/>
      <c r="C38" s="21"/>
      <c r="D38" s="22">
        <v>0</v>
      </c>
      <c r="E38" s="3"/>
      <c r="F38" s="3"/>
      <c r="G38" s="3"/>
    </row>
    <row r="39" spans="1:7" ht="15.75" hidden="1" x14ac:dyDescent="0.25">
      <c r="A39" s="187" t="s">
        <v>259</v>
      </c>
      <c r="B39" s="20"/>
      <c r="C39" s="218"/>
      <c r="D39" s="22">
        <v>0</v>
      </c>
      <c r="E39" s="3"/>
      <c r="F39" s="3"/>
      <c r="G39" s="3"/>
    </row>
    <row r="40" spans="1:7" ht="15.75" hidden="1" x14ac:dyDescent="0.25">
      <c r="A40" s="187" t="s">
        <v>312</v>
      </c>
      <c r="B40" s="20"/>
      <c r="C40" s="218"/>
      <c r="D40" s="22"/>
      <c r="E40" s="3"/>
      <c r="F40" s="3"/>
      <c r="G40" s="3"/>
    </row>
    <row r="41" spans="1:7" ht="15.75" hidden="1" x14ac:dyDescent="0.25">
      <c r="A41" s="35" t="s">
        <v>409</v>
      </c>
      <c r="B41" s="23"/>
      <c r="C41" s="21"/>
      <c r="D41" s="22"/>
      <c r="E41" s="3"/>
      <c r="F41" s="3"/>
      <c r="G41" s="3"/>
    </row>
    <row r="42" spans="1:7" s="34" customFormat="1" ht="47.25" x14ac:dyDescent="0.25">
      <c r="A42" s="223" t="s">
        <v>401</v>
      </c>
      <c r="B42" s="208">
        <f>SUM(B43:B45)</f>
        <v>69271.792815954759</v>
      </c>
      <c r="C42" s="21"/>
      <c r="D42" s="22"/>
      <c r="E42" s="33"/>
      <c r="F42" s="33"/>
      <c r="G42" s="33"/>
    </row>
    <row r="43" spans="1:7" ht="15.75" x14ac:dyDescent="0.25">
      <c r="A43" s="35" t="s">
        <v>262</v>
      </c>
      <c r="B43" s="23">
        <v>60472.1</v>
      </c>
      <c r="C43" s="39"/>
      <c r="D43" s="40"/>
      <c r="E43" s="3"/>
      <c r="F43" s="3"/>
      <c r="G43" s="3"/>
    </row>
    <row r="44" spans="1:7" ht="15.75" x14ac:dyDescent="0.25">
      <c r="A44" s="35" t="s">
        <v>263</v>
      </c>
      <c r="B44" s="23"/>
      <c r="C44" s="39"/>
      <c r="D44" s="40"/>
      <c r="E44" s="3"/>
      <c r="F44" s="3"/>
      <c r="G44" s="3"/>
    </row>
    <row r="45" spans="1:7" ht="15.75" x14ac:dyDescent="0.25">
      <c r="A45" s="226" t="s">
        <v>264</v>
      </c>
      <c r="B45" s="23">
        <f>'[6]32тарифы'!D163*B15+167.26*1.12</f>
        <v>8799.6928159547606</v>
      </c>
      <c r="C45" s="39"/>
      <c r="D45" s="40"/>
      <c r="E45" s="3"/>
      <c r="F45" s="3"/>
      <c r="G45" s="3"/>
    </row>
    <row r="46" spans="1:7" s="8" customFormat="1" ht="15.75" x14ac:dyDescent="0.25">
      <c r="A46" s="223" t="s">
        <v>265</v>
      </c>
      <c r="B46" s="208">
        <f>SUM(B47:B65)</f>
        <v>52513.69</v>
      </c>
      <c r="C46" s="21"/>
      <c r="D46" s="22"/>
    </row>
    <row r="47" spans="1:7" ht="15.75" x14ac:dyDescent="0.25">
      <c r="A47" s="224" t="s">
        <v>326</v>
      </c>
      <c r="B47" s="23">
        <v>1890</v>
      </c>
      <c r="C47" s="21"/>
      <c r="D47" s="22"/>
      <c r="E47" s="3" t="s">
        <v>267</v>
      </c>
      <c r="F47" s="3"/>
      <c r="G47" s="3"/>
    </row>
    <row r="48" spans="1:7" ht="15.75" x14ac:dyDescent="0.25">
      <c r="A48" s="224" t="s">
        <v>317</v>
      </c>
      <c r="B48" s="23">
        <v>2295</v>
      </c>
      <c r="C48" s="21"/>
      <c r="D48" s="22"/>
      <c r="E48" s="3" t="s">
        <v>269</v>
      </c>
      <c r="F48" s="3"/>
      <c r="G48" s="3"/>
    </row>
    <row r="49" spans="1:5" ht="15.75" hidden="1" x14ac:dyDescent="0.25">
      <c r="A49" s="143" t="s">
        <v>270</v>
      </c>
      <c r="B49" s="23">
        <v>0</v>
      </c>
      <c r="C49" s="21"/>
      <c r="D49" s="22"/>
      <c r="E49" s="3"/>
    </row>
    <row r="50" spans="1:5" ht="15.75" hidden="1" x14ac:dyDescent="0.25">
      <c r="A50" s="228" t="s">
        <v>414</v>
      </c>
      <c r="B50" s="20"/>
      <c r="C50" s="218"/>
      <c r="D50" s="22"/>
      <c r="E50" s="3"/>
    </row>
    <row r="51" spans="1:5" ht="15.75" hidden="1" x14ac:dyDescent="0.25">
      <c r="A51" s="143" t="s">
        <v>282</v>
      </c>
      <c r="B51" s="23"/>
      <c r="C51" s="21"/>
      <c r="D51" s="22"/>
      <c r="E51" s="3"/>
    </row>
    <row r="52" spans="1:5" ht="15.75" hidden="1" x14ac:dyDescent="0.25">
      <c r="A52" s="143" t="s">
        <v>273</v>
      </c>
      <c r="B52" s="23">
        <f>B21*'[6]32тарифы'!D177</f>
        <v>0</v>
      </c>
      <c r="C52" s="21"/>
      <c r="D52" s="22">
        <v>105.14</v>
      </c>
      <c r="E52" s="3"/>
    </row>
    <row r="53" spans="1:5" ht="15.75" x14ac:dyDescent="0.25">
      <c r="A53" s="228" t="s">
        <v>274</v>
      </c>
      <c r="B53" s="20">
        <v>7640</v>
      </c>
      <c r="C53" s="218">
        <v>0</v>
      </c>
      <c r="D53" s="22">
        <v>522.99</v>
      </c>
      <c r="E53" s="3"/>
    </row>
    <row r="54" spans="1:5" ht="15.75" hidden="1" x14ac:dyDescent="0.25">
      <c r="A54" s="188" t="s">
        <v>344</v>
      </c>
      <c r="B54" s="20"/>
      <c r="C54" s="218">
        <v>0</v>
      </c>
      <c r="D54" s="44">
        <v>695.13</v>
      </c>
      <c r="E54" s="3"/>
    </row>
    <row r="55" spans="1:5" ht="15.75" hidden="1" x14ac:dyDescent="0.25">
      <c r="A55" s="143" t="s">
        <v>276</v>
      </c>
      <c r="B55" s="23">
        <v>0</v>
      </c>
      <c r="C55" s="21"/>
      <c r="D55" s="44"/>
      <c r="E55" s="3"/>
    </row>
    <row r="56" spans="1:5" ht="15.75" hidden="1" x14ac:dyDescent="0.25">
      <c r="A56" s="143" t="s">
        <v>277</v>
      </c>
      <c r="B56" s="23">
        <v>0</v>
      </c>
      <c r="C56" s="21">
        <v>0</v>
      </c>
      <c r="D56" s="22">
        <f>10695.76/1.18</f>
        <v>9064.203389830509</v>
      </c>
      <c r="E56" s="3"/>
    </row>
    <row r="57" spans="1:5" ht="15.75" hidden="1" x14ac:dyDescent="0.25">
      <c r="A57" s="143" t="s">
        <v>314</v>
      </c>
      <c r="B57" s="23">
        <v>0</v>
      </c>
      <c r="C57" s="21">
        <v>0</v>
      </c>
      <c r="D57" s="22">
        <f>2300/1.18</f>
        <v>1949.1525423728815</v>
      </c>
      <c r="E57" s="3"/>
    </row>
    <row r="58" spans="1:5" ht="15.75" hidden="1" x14ac:dyDescent="0.25">
      <c r="A58" s="228" t="s">
        <v>315</v>
      </c>
      <c r="B58" s="20">
        <v>0</v>
      </c>
      <c r="C58" s="218">
        <v>0</v>
      </c>
      <c r="D58" s="22">
        <v>0</v>
      </c>
      <c r="E58" s="3"/>
    </row>
    <row r="59" spans="1:5" ht="18" customHeight="1" x14ac:dyDescent="0.25">
      <c r="A59" s="228" t="s">
        <v>282</v>
      </c>
      <c r="B59" s="20">
        <v>139.84</v>
      </c>
      <c r="C59" s="218"/>
      <c r="D59" s="22"/>
      <c r="E59" s="227">
        <f>B80+B46-B59+771.09</f>
        <v>62383.23</v>
      </c>
    </row>
    <row r="60" spans="1:5" ht="17.25" customHeight="1" x14ac:dyDescent="0.25">
      <c r="A60" s="187" t="s">
        <v>541</v>
      </c>
      <c r="B60" s="20">
        <v>15912</v>
      </c>
      <c r="C60" s="218"/>
      <c r="D60" s="22"/>
      <c r="E60" s="3"/>
    </row>
    <row r="61" spans="1:5" ht="15.75" x14ac:dyDescent="0.25">
      <c r="A61" s="187" t="s">
        <v>380</v>
      </c>
      <c r="B61" s="20">
        <v>8133.62</v>
      </c>
      <c r="C61" s="218"/>
      <c r="D61" s="22">
        <v>0</v>
      </c>
      <c r="E61" s="3"/>
    </row>
    <row r="62" spans="1:5" ht="15.75" x14ac:dyDescent="0.25">
      <c r="A62" s="225" t="s">
        <v>542</v>
      </c>
      <c r="B62" s="20">
        <v>4200</v>
      </c>
      <c r="C62" s="218"/>
      <c r="D62" s="22">
        <v>0</v>
      </c>
      <c r="E62" s="3"/>
    </row>
    <row r="63" spans="1:5" ht="15.75" x14ac:dyDescent="0.25">
      <c r="A63" s="224" t="s">
        <v>405</v>
      </c>
      <c r="B63" s="229">
        <v>12303.23</v>
      </c>
      <c r="C63" s="46">
        <v>1</v>
      </c>
      <c r="D63" s="22">
        <v>0</v>
      </c>
      <c r="E63" s="3"/>
    </row>
    <row r="64" spans="1:5" ht="15.75" hidden="1" x14ac:dyDescent="0.25">
      <c r="A64" s="187" t="s">
        <v>284</v>
      </c>
      <c r="B64" s="112">
        <v>0</v>
      </c>
      <c r="C64" s="246">
        <v>37</v>
      </c>
      <c r="D64" s="22">
        <v>2</v>
      </c>
      <c r="E64" s="3">
        <v>1</v>
      </c>
    </row>
    <row r="65" spans="1:4" ht="15.75" hidden="1" x14ac:dyDescent="0.25">
      <c r="A65" s="187" t="s">
        <v>285</v>
      </c>
      <c r="B65" s="112">
        <v>0</v>
      </c>
      <c r="C65" s="247"/>
      <c r="D65" s="40">
        <v>0</v>
      </c>
    </row>
    <row r="66" spans="1:4" s="8" customFormat="1" ht="15.75" x14ac:dyDescent="0.25">
      <c r="A66" s="230" t="s">
        <v>286</v>
      </c>
      <c r="B66" s="208">
        <f>SUM(B67:B74)</f>
        <v>95898.302687140473</v>
      </c>
      <c r="C66" s="39"/>
      <c r="D66" s="40"/>
    </row>
    <row r="67" spans="1:4" ht="15.75" hidden="1" x14ac:dyDescent="0.25">
      <c r="A67" s="187" t="s">
        <v>287</v>
      </c>
      <c r="B67" s="20">
        <v>0</v>
      </c>
      <c r="C67" s="231"/>
      <c r="D67" s="40"/>
    </row>
    <row r="68" spans="1:4" ht="15.75" x14ac:dyDescent="0.25">
      <c r="A68" s="224" t="s">
        <v>288</v>
      </c>
      <c r="B68" s="232">
        <f>1.04*52450.38*1.12</f>
        <v>61094.202624000005</v>
      </c>
      <c r="C68" s="39"/>
      <c r="D68" s="40"/>
    </row>
    <row r="69" spans="1:4" ht="15.75" hidden="1" x14ac:dyDescent="0.25">
      <c r="A69" s="187" t="s">
        <v>289</v>
      </c>
      <c r="B69" s="20">
        <v>0</v>
      </c>
      <c r="C69" s="231"/>
      <c r="D69" s="40"/>
    </row>
    <row r="70" spans="1:4" ht="15.75" x14ac:dyDescent="0.25">
      <c r="A70" s="226" t="s">
        <v>290</v>
      </c>
      <c r="B70" s="23">
        <f>'[6]32тарифы'!D164*B13*1.12</f>
        <v>1834.3724975471475</v>
      </c>
      <c r="C70" s="39"/>
      <c r="D70" s="40"/>
    </row>
    <row r="71" spans="1:4" ht="15.75" x14ac:dyDescent="0.25">
      <c r="A71" s="226" t="s">
        <v>291</v>
      </c>
      <c r="B71" s="23">
        <f>'[6]32тарифы'!D165*B15*1.12</f>
        <v>10381.122601060921</v>
      </c>
      <c r="C71" s="39"/>
      <c r="D71" s="40"/>
    </row>
    <row r="72" spans="1:4" ht="15.75" x14ac:dyDescent="0.25">
      <c r="A72" s="226" t="s">
        <v>292</v>
      </c>
      <c r="B72" s="23">
        <f>1.04*16579.449016928*1.12</f>
        <v>19311.742214917736</v>
      </c>
      <c r="C72" s="39"/>
      <c r="D72" s="40"/>
    </row>
    <row r="73" spans="1:4" ht="15.75" x14ac:dyDescent="0.25">
      <c r="A73" s="226" t="s">
        <v>293</v>
      </c>
      <c r="B73" s="23">
        <f>1.04*2813.24068476534*1.12</f>
        <v>3276.8627496146687</v>
      </c>
      <c r="C73" s="39"/>
      <c r="D73" s="40"/>
    </row>
    <row r="74" spans="1:4" ht="15.75" hidden="1" x14ac:dyDescent="0.25">
      <c r="A74" s="226" t="s">
        <v>294</v>
      </c>
      <c r="B74" s="23"/>
      <c r="C74" s="39"/>
      <c r="D74" s="40"/>
    </row>
    <row r="75" spans="1:4" ht="63" x14ac:dyDescent="0.25">
      <c r="A75" s="233" t="s">
        <v>295</v>
      </c>
      <c r="B75" s="208">
        <f>SUM(B76:B76)</f>
        <v>50557.920000000006</v>
      </c>
      <c r="C75" s="39"/>
      <c r="D75" s="40"/>
    </row>
    <row r="76" spans="1:4" ht="15.75" x14ac:dyDescent="0.25">
      <c r="A76" s="226" t="s">
        <v>296</v>
      </c>
      <c r="B76" s="23">
        <f>45141*1.12</f>
        <v>50557.920000000006</v>
      </c>
      <c r="C76" s="39"/>
      <c r="D76" s="40"/>
    </row>
    <row r="77" spans="1:4" s="8" customFormat="1" ht="15.75" x14ac:dyDescent="0.25">
      <c r="A77" s="230" t="s">
        <v>297</v>
      </c>
      <c r="B77" s="208">
        <f>SUM(B78:B81)</f>
        <v>81312.522931031403</v>
      </c>
      <c r="C77" s="39"/>
      <c r="D77" s="40"/>
    </row>
    <row r="78" spans="1:4" ht="15.75" x14ac:dyDescent="0.25">
      <c r="A78" s="234" t="s">
        <v>298</v>
      </c>
      <c r="B78" s="23">
        <f>'[6]32тарифы'!D170*B15*1.12</f>
        <v>39176.587045252236</v>
      </c>
      <c r="C78" s="39"/>
      <c r="D78" s="40"/>
    </row>
    <row r="79" spans="1:4" ht="15.75" x14ac:dyDescent="0.25">
      <c r="A79" s="234" t="s">
        <v>299</v>
      </c>
      <c r="B79" s="232">
        <v>29632</v>
      </c>
      <c r="C79" s="39"/>
      <c r="D79" s="40"/>
    </row>
    <row r="80" spans="1:4" ht="15.75" x14ac:dyDescent="0.25">
      <c r="A80" s="235" t="s">
        <v>300</v>
      </c>
      <c r="B80" s="23">
        <f>4790.6+4447.69</f>
        <v>9238.2900000000009</v>
      </c>
      <c r="C80" s="39"/>
      <c r="D80" s="40"/>
    </row>
    <row r="81" spans="1:4" ht="15.75" x14ac:dyDescent="0.25">
      <c r="A81" s="235" t="s">
        <v>301</v>
      </c>
      <c r="B81" s="23">
        <f>'[6]32тарифы'!D173*B13*1.12</f>
        <v>3265.6458857791599</v>
      </c>
      <c r="C81" s="39"/>
      <c r="D81" s="40"/>
    </row>
    <row r="82" spans="1:4" ht="15.75" x14ac:dyDescent="0.25">
      <c r="A82" s="236" t="s">
        <v>302</v>
      </c>
      <c r="B82" s="28">
        <f>B32+B42+B46+B66+B75+B77</f>
        <v>396417.51843412663</v>
      </c>
      <c r="C82" s="39"/>
      <c r="D82" s="40"/>
    </row>
    <row r="83" spans="1:4" ht="15.75" x14ac:dyDescent="0.25">
      <c r="A83" s="237" t="s">
        <v>303</v>
      </c>
      <c r="B83" s="23">
        <f>B82*0.03</f>
        <v>11892.525553023799</v>
      </c>
      <c r="C83" s="39"/>
      <c r="D83" s="40"/>
    </row>
    <row r="84" spans="1:4" s="34" customFormat="1" ht="15.75" x14ac:dyDescent="0.25">
      <c r="A84" s="238" t="s">
        <v>304</v>
      </c>
      <c r="B84" s="208">
        <f>B82+B83</f>
        <v>408310.04398715042</v>
      </c>
      <c r="C84" s="39"/>
      <c r="D84" s="40"/>
    </row>
    <row r="85" spans="1:4" ht="16.5" thickBot="1" x14ac:dyDescent="0.3">
      <c r="A85" s="239" t="s">
        <v>305</v>
      </c>
      <c r="B85" s="240">
        <f>B84*0.2</f>
        <v>81662.008797430084</v>
      </c>
      <c r="C85" s="39"/>
      <c r="D85" s="40"/>
    </row>
    <row r="86" spans="1:4" s="8" customFormat="1" ht="16.5" thickBot="1" x14ac:dyDescent="0.3">
      <c r="A86" s="58" t="s">
        <v>306</v>
      </c>
      <c r="B86" s="66">
        <f>B84+B85</f>
        <v>489972.0527845805</v>
      </c>
      <c r="C86" s="60"/>
      <c r="D86" s="61"/>
    </row>
    <row r="87" spans="1:4" s="8" customFormat="1" ht="16.5" thickBot="1" x14ac:dyDescent="0.3">
      <c r="A87" s="62" t="s">
        <v>307</v>
      </c>
      <c r="B87" s="296">
        <f>B10+B24+B26+B28+B29-B86</f>
        <v>-807536.96278458042</v>
      </c>
      <c r="C87" s="63"/>
      <c r="D87" s="63"/>
    </row>
    <row r="88" spans="1:4" s="8" customFormat="1" ht="16.5" thickBot="1" x14ac:dyDescent="0.3">
      <c r="A88" s="64" t="s">
        <v>308</v>
      </c>
      <c r="B88" s="66">
        <f>B10+B25+B27+B28+B29-B86</f>
        <v>-797398.77278458048</v>
      </c>
      <c r="C88" s="63"/>
      <c r="D88" s="63"/>
    </row>
    <row r="89" spans="1:4" s="8" customFormat="1" ht="16.5" hidden="1" thickBot="1" x14ac:dyDescent="0.3">
      <c r="A89" s="241" t="s">
        <v>309</v>
      </c>
      <c r="B89" s="66">
        <f>B11+B24-B25</f>
        <v>18827.809999999998</v>
      </c>
      <c r="C89" s="63"/>
      <c r="D89" s="63"/>
    </row>
    <row r="90" spans="1:4" ht="15.75" x14ac:dyDescent="0.25">
      <c r="A90" s="3"/>
      <c r="B90" s="227"/>
      <c r="C90" s="3"/>
      <c r="D90" s="3"/>
    </row>
    <row r="91" spans="1:4" ht="15.75" x14ac:dyDescent="0.25">
      <c r="A91" s="69"/>
      <c r="B91" s="3"/>
      <c r="C91" s="3"/>
      <c r="D91" s="3"/>
    </row>
    <row r="92" spans="1:4" ht="15.75" x14ac:dyDescent="0.25">
      <c r="A92" s="333" t="s">
        <v>407</v>
      </c>
      <c r="B92" s="333"/>
      <c r="C92" s="3"/>
      <c r="D92" s="3"/>
    </row>
    <row r="93" spans="1:4" ht="15.75" x14ac:dyDescent="0.25">
      <c r="A93" s="69"/>
      <c r="B93" s="3"/>
      <c r="C93" s="3"/>
      <c r="D93" s="3"/>
    </row>
    <row r="94" spans="1:4" ht="15.75" hidden="1" x14ac:dyDescent="0.25">
      <c r="A94" s="342" t="s">
        <v>408</v>
      </c>
      <c r="B94" s="342"/>
      <c r="C94" s="72"/>
      <c r="D94" s="3"/>
    </row>
    <row r="95" spans="1:4" ht="15.75" x14ac:dyDescent="0.25">
      <c r="A95" s="3"/>
      <c r="B95" s="3"/>
      <c r="C95" s="3"/>
      <c r="D95" s="3"/>
    </row>
  </sheetData>
  <autoFilter ref="A31:G89" xr:uid="{00000000-0009-0000-0000-000046000000}"/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79"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pageSetUpPr fitToPage="1"/>
  </sheetPr>
  <dimension ref="A1:G95"/>
  <sheetViews>
    <sheetView view="pageBreakPreview" topLeftCell="A35" zoomScale="85" zoomScaleNormal="100" zoomScaleSheetLayoutView="85" workbookViewId="0">
      <selection activeCell="B81" sqref="B81"/>
    </sheetView>
  </sheetViews>
  <sheetFormatPr defaultRowHeight="12.75" x14ac:dyDescent="0.2"/>
  <cols>
    <col min="1" max="1" width="96.42578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13" t="s">
        <v>224</v>
      </c>
      <c r="B1" s="313"/>
      <c r="C1" s="3"/>
      <c r="D1" s="3"/>
    </row>
    <row r="2" spans="1:4" ht="16.5" x14ac:dyDescent="0.25">
      <c r="A2" s="315" t="s">
        <v>225</v>
      </c>
      <c r="B2" s="315"/>
      <c r="C2" s="3"/>
      <c r="D2" s="3"/>
    </row>
    <row r="3" spans="1:4" ht="16.5" x14ac:dyDescent="0.25">
      <c r="A3" s="315" t="s">
        <v>226</v>
      </c>
      <c r="B3" s="315"/>
      <c r="C3" s="3"/>
      <c r="D3" s="3"/>
    </row>
    <row r="4" spans="1:4" ht="15.75" x14ac:dyDescent="0.25">
      <c r="A4" s="4" t="s">
        <v>516</v>
      </c>
      <c r="B4" s="4"/>
      <c r="C4" s="3"/>
      <c r="D4" s="3"/>
    </row>
    <row r="5" spans="1:4" ht="15.75" x14ac:dyDescent="0.25">
      <c r="A5" s="4" t="s">
        <v>163</v>
      </c>
      <c r="B5" s="4"/>
      <c r="C5" s="3"/>
      <c r="D5" s="3"/>
    </row>
    <row r="6" spans="1:4" ht="5.25" customHeight="1" x14ac:dyDescent="0.25">
      <c r="A6" s="4"/>
      <c r="B6" s="8"/>
      <c r="C6" s="8"/>
      <c r="D6" s="3"/>
    </row>
    <row r="7" spans="1:4" ht="16.5" thickBot="1" x14ac:dyDescent="0.3">
      <c r="A7" s="9"/>
      <c r="B7" s="8"/>
      <c r="C7" s="8"/>
      <c r="D7" s="3"/>
    </row>
    <row r="8" spans="1:4" ht="15.75" customHeight="1" x14ac:dyDescent="0.2">
      <c r="A8" s="335" t="s">
        <v>227</v>
      </c>
      <c r="B8" s="337" t="s">
        <v>228</v>
      </c>
      <c r="C8" s="307" t="s">
        <v>229</v>
      </c>
      <c r="D8" s="307" t="s">
        <v>230</v>
      </c>
    </row>
    <row r="9" spans="1:4" ht="28.5" customHeight="1" thickBot="1" x14ac:dyDescent="0.25">
      <c r="A9" s="336"/>
      <c r="B9" s="338"/>
      <c r="C9" s="308"/>
      <c r="D9" s="308"/>
    </row>
    <row r="10" spans="1:4" s="212" customFormat="1" ht="16.5" thickBot="1" x14ac:dyDescent="0.3">
      <c r="A10" s="209" t="s">
        <v>231</v>
      </c>
      <c r="B10" s="304">
        <f>VLOOKUP(A5,мкд!S:T,2,FALSE)</f>
        <v>-357083.18107639678</v>
      </c>
      <c r="C10" s="211"/>
      <c r="D10" s="211"/>
    </row>
    <row r="11" spans="1:4" s="212" customFormat="1" ht="16.5" hidden="1" thickBot="1" x14ac:dyDescent="0.3">
      <c r="A11" s="213" t="s">
        <v>232</v>
      </c>
      <c r="B11" s="243"/>
      <c r="C11" s="215"/>
      <c r="D11" s="215"/>
    </row>
    <row r="12" spans="1:4" ht="15.75" x14ac:dyDescent="0.25">
      <c r="A12" s="216" t="s">
        <v>233</v>
      </c>
      <c r="B12" s="217"/>
      <c r="C12" s="17" t="s">
        <v>234</v>
      </c>
      <c r="D12" s="18" t="s">
        <v>234</v>
      </c>
    </row>
    <row r="13" spans="1:4" ht="15.75" hidden="1" x14ac:dyDescent="0.25">
      <c r="A13" s="182" t="s">
        <v>235</v>
      </c>
      <c r="B13" s="20">
        <v>2587</v>
      </c>
      <c r="C13" s="21" t="s">
        <v>234</v>
      </c>
      <c r="D13" s="22" t="s">
        <v>234</v>
      </c>
    </row>
    <row r="14" spans="1:4" ht="15.75" hidden="1" x14ac:dyDescent="0.25">
      <c r="A14" s="182" t="s">
        <v>236</v>
      </c>
      <c r="B14" s="20">
        <v>656.8</v>
      </c>
      <c r="C14" s="21"/>
      <c r="D14" s="22"/>
    </row>
    <row r="15" spans="1:4" ht="15.75" x14ac:dyDescent="0.25">
      <c r="A15" s="219" t="s">
        <v>237</v>
      </c>
      <c r="B15" s="23">
        <f>B13+B14</f>
        <v>3243.8</v>
      </c>
      <c r="C15" s="21"/>
      <c r="D15" s="22"/>
    </row>
    <row r="16" spans="1:4" ht="15.75" x14ac:dyDescent="0.25">
      <c r="A16" s="219" t="s">
        <v>238</v>
      </c>
      <c r="B16" s="23">
        <f>1305.2+1240/3</f>
        <v>1718.5333333333333</v>
      </c>
      <c r="C16" s="21" t="s">
        <v>234</v>
      </c>
      <c r="D16" s="22" t="s">
        <v>234</v>
      </c>
    </row>
    <row r="17" spans="1:7" ht="15.75" hidden="1" x14ac:dyDescent="0.25">
      <c r="A17" s="182" t="s">
        <v>239</v>
      </c>
      <c r="B17" s="20">
        <v>0</v>
      </c>
      <c r="C17" s="21" t="s">
        <v>234</v>
      </c>
      <c r="D17" s="22" t="s">
        <v>234</v>
      </c>
      <c r="E17" s="3"/>
      <c r="F17" s="3"/>
      <c r="G17" s="3"/>
    </row>
    <row r="18" spans="1:7" ht="15.75" hidden="1" x14ac:dyDescent="0.25">
      <c r="A18" s="182" t="s">
        <v>240</v>
      </c>
      <c r="B18" s="20">
        <v>883</v>
      </c>
      <c r="C18" s="21" t="s">
        <v>234</v>
      </c>
      <c r="D18" s="22" t="s">
        <v>234</v>
      </c>
      <c r="E18" s="3"/>
      <c r="F18" s="3"/>
      <c r="G18" s="3"/>
    </row>
    <row r="19" spans="1:7" ht="15.75" hidden="1" x14ac:dyDescent="0.25">
      <c r="A19" s="182" t="s">
        <v>241</v>
      </c>
      <c r="B19" s="20">
        <v>0</v>
      </c>
      <c r="C19" s="21" t="s">
        <v>234</v>
      </c>
      <c r="D19" s="22" t="s">
        <v>234</v>
      </c>
      <c r="E19" s="3"/>
      <c r="F19" s="3"/>
      <c r="G19" s="3"/>
    </row>
    <row r="20" spans="1:7" ht="15.75" hidden="1" x14ac:dyDescent="0.25">
      <c r="A20" s="182" t="s">
        <v>242</v>
      </c>
      <c r="B20" s="20">
        <v>1143</v>
      </c>
      <c r="C20" s="21"/>
      <c r="D20" s="22"/>
      <c r="E20" s="3"/>
      <c r="F20" s="3"/>
      <c r="G20" s="3"/>
    </row>
    <row r="21" spans="1:7" ht="15.75" hidden="1" x14ac:dyDescent="0.25">
      <c r="A21" s="182" t="s">
        <v>243</v>
      </c>
      <c r="B21" s="20">
        <v>0</v>
      </c>
      <c r="C21" s="21" t="s">
        <v>234</v>
      </c>
      <c r="D21" s="22" t="s">
        <v>234</v>
      </c>
      <c r="E21" s="3"/>
      <c r="F21" s="3"/>
      <c r="G21" s="3"/>
    </row>
    <row r="22" spans="1:7" ht="15.75" hidden="1" x14ac:dyDescent="0.25">
      <c r="A22" s="182" t="s">
        <v>244</v>
      </c>
      <c r="B22" s="20">
        <v>146</v>
      </c>
      <c r="C22" s="21"/>
      <c r="D22" s="22"/>
      <c r="E22" s="3"/>
      <c r="F22" s="3"/>
      <c r="G22" s="3"/>
    </row>
    <row r="23" spans="1:7" ht="15.75" x14ac:dyDescent="0.25">
      <c r="A23" s="219"/>
      <c r="B23" s="23"/>
      <c r="C23" s="21"/>
      <c r="D23" s="22"/>
      <c r="E23" s="3"/>
      <c r="F23" s="3"/>
      <c r="G23" s="3"/>
    </row>
    <row r="24" spans="1:7" ht="15.75" x14ac:dyDescent="0.25">
      <c r="A24" s="220" t="s">
        <v>319</v>
      </c>
      <c r="B24" s="28">
        <f>VLOOKUP(A5,'[5]Лист  1'!M$1:N$65536,2,FALSE)</f>
        <v>522071.76</v>
      </c>
      <c r="C24" s="21"/>
      <c r="D24" s="22"/>
      <c r="E24" s="3">
        <v>16.810000000000002</v>
      </c>
      <c r="F24" s="3"/>
      <c r="G24" s="3"/>
    </row>
    <row r="25" spans="1:7" ht="15.75" x14ac:dyDescent="0.25">
      <c r="A25" s="220" t="s">
        <v>320</v>
      </c>
      <c r="B25" s="28">
        <f>VLOOKUP(A5,'[5]Лист  1'!M$1:O$65536,3,FALSE)</f>
        <v>511893.37</v>
      </c>
      <c r="C25" s="21"/>
      <c r="D25" s="22"/>
      <c r="E25" s="3"/>
      <c r="F25" s="3"/>
      <c r="G25" s="3"/>
    </row>
    <row r="26" spans="1:7" ht="15.75" x14ac:dyDescent="0.25">
      <c r="A26" s="220" t="s">
        <v>353</v>
      </c>
      <c r="B26" s="28">
        <v>132489.70000000001</v>
      </c>
      <c r="C26" s="21"/>
      <c r="D26" s="22"/>
      <c r="E26" s="3"/>
      <c r="F26" s="3"/>
      <c r="G26" s="3"/>
    </row>
    <row r="27" spans="1:7" ht="15.75" x14ac:dyDescent="0.25">
      <c r="A27" s="220" t="s">
        <v>354</v>
      </c>
      <c r="B27" s="28">
        <v>121825.82</v>
      </c>
      <c r="C27" s="21"/>
      <c r="D27" s="22"/>
      <c r="E27" s="3"/>
      <c r="F27" s="3"/>
      <c r="G27" s="3"/>
    </row>
    <row r="28" spans="1:7" ht="15.75" x14ac:dyDescent="0.25">
      <c r="A28" s="220" t="s">
        <v>399</v>
      </c>
      <c r="B28" s="28">
        <v>7611.96</v>
      </c>
      <c r="C28" s="21"/>
      <c r="D28" s="22"/>
      <c r="E28" s="3"/>
      <c r="F28" s="3"/>
      <c r="G28" s="3"/>
    </row>
    <row r="29" spans="1:7" ht="15.75" hidden="1" x14ac:dyDescent="0.25">
      <c r="A29" s="220" t="s">
        <v>250</v>
      </c>
      <c r="B29" s="23"/>
      <c r="C29" s="21"/>
      <c r="D29" s="22"/>
      <c r="E29" s="3"/>
      <c r="F29" s="3"/>
      <c r="G29" s="3"/>
    </row>
    <row r="30" spans="1:7" ht="15.75" x14ac:dyDescent="0.25">
      <c r="A30" s="221"/>
      <c r="B30" s="23"/>
      <c r="C30" s="21"/>
      <c r="D30" s="22"/>
      <c r="E30" s="3"/>
      <c r="F30" s="3"/>
      <c r="G30" s="3"/>
    </row>
    <row r="31" spans="1:7" ht="15.75" x14ac:dyDescent="0.25">
      <c r="A31" s="222" t="s">
        <v>251</v>
      </c>
      <c r="B31" s="23"/>
      <c r="C31" s="21"/>
      <c r="D31" s="22"/>
      <c r="E31" s="3"/>
      <c r="F31" s="3"/>
      <c r="G31" s="3"/>
    </row>
    <row r="32" spans="1:7" s="34" customFormat="1" ht="31.5" x14ac:dyDescent="0.25">
      <c r="A32" s="223" t="s">
        <v>252</v>
      </c>
      <c r="B32" s="208">
        <f>SUM(B33:B41)</f>
        <v>47505.63</v>
      </c>
      <c r="C32" s="21"/>
      <c r="D32" s="22"/>
      <c r="E32" s="33">
        <f>(B86-B24-B26)/1.2/1.03</f>
        <v>51945.161647570079</v>
      </c>
      <c r="F32" s="33" t="e">
        <f>(#REF!-#REF!-#REF!)/1.2/1.03</f>
        <v>#REF!</v>
      </c>
      <c r="G32" s="33" t="e">
        <f>(#REF!-#REF!-#REF!)/1.2/1.03</f>
        <v>#REF!</v>
      </c>
    </row>
    <row r="33" spans="1:7" ht="15.75" x14ac:dyDescent="0.25">
      <c r="A33" s="224" t="s">
        <v>253</v>
      </c>
      <c r="B33" s="23">
        <v>33112</v>
      </c>
      <c r="C33" s="21"/>
      <c r="D33" s="22">
        <v>34604.559999999998</v>
      </c>
      <c r="E33" s="3"/>
      <c r="F33" s="3"/>
      <c r="G33" s="3"/>
    </row>
    <row r="34" spans="1:7" ht="15.75" hidden="1" x14ac:dyDescent="0.25">
      <c r="A34" s="225" t="s">
        <v>322</v>
      </c>
      <c r="B34" s="20"/>
      <c r="C34" s="21"/>
      <c r="D34" s="22">
        <v>0</v>
      </c>
      <c r="E34" s="3"/>
      <c r="F34" s="3"/>
      <c r="G34" s="3"/>
    </row>
    <row r="35" spans="1:7" ht="15.75" x14ac:dyDescent="0.25">
      <c r="A35" s="225" t="s">
        <v>256</v>
      </c>
      <c r="B35" s="20">
        <v>14393.63</v>
      </c>
      <c r="C35" s="21"/>
      <c r="D35" s="22">
        <v>0</v>
      </c>
      <c r="E35" s="3"/>
      <c r="F35" s="3"/>
      <c r="G35" s="3"/>
    </row>
    <row r="36" spans="1:7" ht="15.75" hidden="1" x14ac:dyDescent="0.25">
      <c r="A36" s="224" t="s">
        <v>255</v>
      </c>
      <c r="B36" s="23"/>
      <c r="C36" s="21" t="s">
        <v>234</v>
      </c>
      <c r="D36" s="22">
        <v>0</v>
      </c>
      <c r="E36" s="3"/>
      <c r="F36" s="3"/>
      <c r="G36" s="3"/>
    </row>
    <row r="37" spans="1:7" ht="15.75" hidden="1" x14ac:dyDescent="0.25">
      <c r="A37" s="225" t="s">
        <v>257</v>
      </c>
      <c r="B37" s="20">
        <v>0</v>
      </c>
      <c r="C37" s="21"/>
      <c r="D37" s="22">
        <v>0</v>
      </c>
      <c r="E37" s="3"/>
      <c r="F37" s="3"/>
      <c r="G37" s="3"/>
    </row>
    <row r="38" spans="1:7" ht="15.75" hidden="1" x14ac:dyDescent="0.25">
      <c r="A38" s="224" t="s">
        <v>258</v>
      </c>
      <c r="B38" s="23">
        <v>0</v>
      </c>
      <c r="C38" s="21"/>
      <c r="D38" s="22">
        <v>0</v>
      </c>
      <c r="E38" s="3"/>
      <c r="F38" s="3"/>
      <c r="G38" s="3"/>
    </row>
    <row r="39" spans="1:7" ht="15.75" hidden="1" x14ac:dyDescent="0.25">
      <c r="A39" s="187" t="s">
        <v>259</v>
      </c>
      <c r="B39" s="20">
        <v>0</v>
      </c>
      <c r="C39" s="21"/>
      <c r="D39" s="22">
        <v>0</v>
      </c>
      <c r="E39" s="3"/>
      <c r="F39" s="3"/>
      <c r="G39" s="3"/>
    </row>
    <row r="40" spans="1:7" ht="15.75" hidden="1" x14ac:dyDescent="0.25">
      <c r="A40" s="187" t="s">
        <v>409</v>
      </c>
      <c r="B40" s="20"/>
      <c r="C40" s="21"/>
      <c r="D40" s="22"/>
      <c r="E40" s="3"/>
      <c r="F40" s="3"/>
      <c r="G40" s="3"/>
    </row>
    <row r="41" spans="1:7" ht="15.75" hidden="1" x14ac:dyDescent="0.25">
      <c r="A41" s="35" t="s">
        <v>400</v>
      </c>
      <c r="B41" s="23"/>
      <c r="C41" s="21"/>
      <c r="D41" s="22"/>
      <c r="E41" s="3"/>
      <c r="F41" s="3"/>
      <c r="G41" s="3"/>
    </row>
    <row r="42" spans="1:7" s="34" customFormat="1" ht="47.25" x14ac:dyDescent="0.25">
      <c r="A42" s="223" t="s">
        <v>401</v>
      </c>
      <c r="B42" s="208">
        <f>SUM(B43:B45)</f>
        <v>65821.982329424034</v>
      </c>
      <c r="C42" s="21"/>
      <c r="D42" s="22"/>
      <c r="E42" s="33"/>
      <c r="F42" s="33"/>
      <c r="G42" s="33"/>
    </row>
    <row r="43" spans="1:7" ht="15.75" x14ac:dyDescent="0.25">
      <c r="A43" s="35" t="s">
        <v>262</v>
      </c>
      <c r="B43" s="23">
        <v>48040.78</v>
      </c>
      <c r="C43" s="39"/>
      <c r="D43" s="40"/>
      <c r="E43" s="3"/>
      <c r="F43" s="3"/>
      <c r="G43" s="3"/>
    </row>
    <row r="44" spans="1:7" ht="15.75" x14ac:dyDescent="0.25">
      <c r="A44" s="35" t="s">
        <v>263</v>
      </c>
      <c r="B44" s="23"/>
      <c r="C44" s="39"/>
      <c r="D44" s="40"/>
      <c r="E44" s="3"/>
      <c r="F44" s="3"/>
      <c r="G44" s="3"/>
    </row>
    <row r="45" spans="1:7" ht="15.75" x14ac:dyDescent="0.25">
      <c r="A45" s="226" t="s">
        <v>264</v>
      </c>
      <c r="B45" s="23">
        <f>'[6]32тарифы'!D163*B15+510.12*1.12</f>
        <v>17781.202329424043</v>
      </c>
      <c r="C45" s="39"/>
      <c r="D45" s="40"/>
      <c r="E45" s="3"/>
      <c r="F45" s="3"/>
      <c r="G45" s="3"/>
    </row>
    <row r="46" spans="1:7" s="8" customFormat="1" ht="15.75" x14ac:dyDescent="0.25">
      <c r="A46" s="223" t="s">
        <v>265</v>
      </c>
      <c r="B46" s="208">
        <f>SUM(B47:B65)</f>
        <v>46123.17</v>
      </c>
      <c r="C46" s="21"/>
      <c r="D46" s="22"/>
    </row>
    <row r="47" spans="1:7" ht="15.75" x14ac:dyDescent="0.25">
      <c r="A47" s="224" t="s">
        <v>326</v>
      </c>
      <c r="B47" s="23">
        <v>4503.3</v>
      </c>
      <c r="C47" s="21"/>
      <c r="D47" s="22"/>
      <c r="E47" s="3" t="s">
        <v>267</v>
      </c>
      <c r="F47" s="3"/>
      <c r="G47" s="3"/>
    </row>
    <row r="48" spans="1:7" ht="15.75" x14ac:dyDescent="0.25">
      <c r="A48" s="224" t="s">
        <v>317</v>
      </c>
      <c r="B48" s="23">
        <v>3708.6</v>
      </c>
      <c r="C48" s="21"/>
      <c r="D48" s="22"/>
      <c r="E48" s="3" t="s">
        <v>269</v>
      </c>
      <c r="F48" s="3"/>
      <c r="G48" s="3"/>
    </row>
    <row r="49" spans="1:5" ht="15.75" hidden="1" x14ac:dyDescent="0.25">
      <c r="A49" s="143" t="s">
        <v>270</v>
      </c>
      <c r="B49" s="23"/>
      <c r="C49" s="21"/>
      <c r="D49" s="22"/>
      <c r="E49" s="3"/>
    </row>
    <row r="50" spans="1:5" ht="15.75" hidden="1" x14ac:dyDescent="0.25">
      <c r="A50" s="228" t="s">
        <v>366</v>
      </c>
      <c r="B50" s="20"/>
      <c r="C50" s="21"/>
      <c r="D50" s="22"/>
      <c r="E50" s="3"/>
    </row>
    <row r="51" spans="1:5" ht="15.75" x14ac:dyDescent="0.25">
      <c r="A51" s="143" t="s">
        <v>402</v>
      </c>
      <c r="B51" s="23">
        <v>156.82</v>
      </c>
      <c r="C51" s="21"/>
      <c r="D51" s="22"/>
      <c r="E51" s="3"/>
    </row>
    <row r="52" spans="1:5" ht="15.75" hidden="1" x14ac:dyDescent="0.25">
      <c r="A52" s="143" t="s">
        <v>316</v>
      </c>
      <c r="B52" s="23">
        <f>B21*'[6]32тарифы'!D177</f>
        <v>0</v>
      </c>
      <c r="C52" s="21"/>
      <c r="D52" s="22">
        <v>105.14</v>
      </c>
      <c r="E52" s="3"/>
    </row>
    <row r="53" spans="1:5" ht="15.75" x14ac:dyDescent="0.25">
      <c r="A53" s="228" t="s">
        <v>542</v>
      </c>
      <c r="B53" s="20">
        <v>4200</v>
      </c>
      <c r="C53" s="21">
        <v>0</v>
      </c>
      <c r="D53" s="22">
        <v>522.99</v>
      </c>
      <c r="E53" s="3"/>
    </row>
    <row r="54" spans="1:5" ht="15.75" hidden="1" x14ac:dyDescent="0.25">
      <c r="A54" s="188" t="s">
        <v>275</v>
      </c>
      <c r="B54" s="20"/>
      <c r="C54" s="21">
        <v>1</v>
      </c>
      <c r="D54" s="44">
        <v>695.13</v>
      </c>
      <c r="E54" s="3"/>
    </row>
    <row r="55" spans="1:5" ht="15.75" hidden="1" x14ac:dyDescent="0.25">
      <c r="A55" s="143" t="s">
        <v>412</v>
      </c>
      <c r="B55" s="23"/>
      <c r="C55" s="21"/>
      <c r="D55" s="44"/>
      <c r="E55" s="3"/>
    </row>
    <row r="56" spans="1:5" ht="15.75" hidden="1" x14ac:dyDescent="0.25">
      <c r="A56" s="143" t="s">
        <v>277</v>
      </c>
      <c r="B56" s="23"/>
      <c r="C56" s="21">
        <v>0</v>
      </c>
      <c r="D56" s="22">
        <f>10695.76/1.18</f>
        <v>9064.203389830509</v>
      </c>
      <c r="E56" s="3"/>
    </row>
    <row r="57" spans="1:5" ht="15.75" x14ac:dyDescent="0.25">
      <c r="A57" s="143" t="s">
        <v>540</v>
      </c>
      <c r="B57" s="23">
        <v>3982.13</v>
      </c>
      <c r="C57" s="21">
        <v>0</v>
      </c>
      <c r="D57" s="22">
        <f>2300/1.18</f>
        <v>1949.1525423728815</v>
      </c>
      <c r="E57" s="227">
        <f>B80+B46-B59+1124.18</f>
        <v>63125.479999999996</v>
      </c>
    </row>
    <row r="58" spans="1:5" ht="15.75" hidden="1" x14ac:dyDescent="0.25">
      <c r="A58" s="228" t="s">
        <v>413</v>
      </c>
      <c r="B58" s="20"/>
      <c r="C58" s="21">
        <v>0</v>
      </c>
      <c r="D58" s="22">
        <v>0</v>
      </c>
      <c r="E58" s="3"/>
    </row>
    <row r="59" spans="1:5" ht="15.75" hidden="1" x14ac:dyDescent="0.25">
      <c r="A59" s="228" t="s">
        <v>279</v>
      </c>
      <c r="B59" s="20">
        <f>B13*'[6]32тарифы'!D184</f>
        <v>0</v>
      </c>
      <c r="C59" s="21"/>
      <c r="D59" s="22"/>
      <c r="E59" s="3"/>
    </row>
    <row r="60" spans="1:5" ht="15.75" hidden="1" x14ac:dyDescent="0.25">
      <c r="A60" s="187" t="s">
        <v>351</v>
      </c>
      <c r="B60" s="20"/>
      <c r="C60" s="21"/>
      <c r="D60" s="22"/>
      <c r="E60" s="3"/>
    </row>
    <row r="61" spans="1:5" ht="15.75" hidden="1" x14ac:dyDescent="0.25">
      <c r="A61" s="187" t="s">
        <v>348</v>
      </c>
      <c r="B61" s="20"/>
      <c r="C61" s="21"/>
      <c r="D61" s="22">
        <v>57150</v>
      </c>
      <c r="E61" s="3"/>
    </row>
    <row r="62" spans="1:5" ht="15.75" x14ac:dyDescent="0.25">
      <c r="A62" s="225" t="s">
        <v>380</v>
      </c>
      <c r="B62" s="20">
        <v>8133.61</v>
      </c>
      <c r="C62" s="21"/>
      <c r="D62" s="22">
        <v>0</v>
      </c>
      <c r="E62" s="3"/>
    </row>
    <row r="63" spans="1:5" ht="15.75" x14ac:dyDescent="0.25">
      <c r="A63" s="224" t="s">
        <v>405</v>
      </c>
      <c r="B63" s="229">
        <v>21438.71</v>
      </c>
      <c r="C63" s="46">
        <v>1</v>
      </c>
      <c r="D63" s="22">
        <v>0</v>
      </c>
      <c r="E63" s="3"/>
    </row>
    <row r="64" spans="1:5" ht="15.75" hidden="1" x14ac:dyDescent="0.25">
      <c r="A64" s="187" t="s">
        <v>284</v>
      </c>
      <c r="B64" s="112"/>
      <c r="C64" s="46">
        <v>64</v>
      </c>
      <c r="D64" s="22">
        <v>2</v>
      </c>
      <c r="E64" s="3">
        <v>1</v>
      </c>
    </row>
    <row r="65" spans="1:4" ht="15.75" hidden="1" x14ac:dyDescent="0.25">
      <c r="A65" s="187" t="s">
        <v>285</v>
      </c>
      <c r="B65" s="112"/>
      <c r="C65" s="48"/>
      <c r="D65" s="40">
        <v>0</v>
      </c>
    </row>
    <row r="66" spans="1:4" s="8" customFormat="1" ht="15.75" x14ac:dyDescent="0.25">
      <c r="A66" s="230" t="s">
        <v>286</v>
      </c>
      <c r="B66" s="208">
        <f>SUM(B67:B74)</f>
        <v>200516.85610977074</v>
      </c>
      <c r="C66" s="39"/>
      <c r="D66" s="40"/>
    </row>
    <row r="67" spans="1:4" ht="15.75" hidden="1" x14ac:dyDescent="0.25">
      <c r="A67" s="187" t="s">
        <v>287</v>
      </c>
      <c r="B67" s="20"/>
      <c r="C67" s="39"/>
      <c r="D67" s="40"/>
    </row>
    <row r="68" spans="1:4" ht="15.75" x14ac:dyDescent="0.25">
      <c r="A68" s="224" t="s">
        <v>288</v>
      </c>
      <c r="B68" s="232">
        <f>65376*1.04*1.12</f>
        <v>76149.964800000016</v>
      </c>
      <c r="C68" s="39"/>
      <c r="D68" s="40"/>
    </row>
    <row r="69" spans="1:4" ht="15.75" hidden="1" x14ac:dyDescent="0.25">
      <c r="A69" s="187" t="s">
        <v>289</v>
      </c>
      <c r="B69" s="20"/>
      <c r="C69" s="39"/>
      <c r="D69" s="40"/>
    </row>
    <row r="70" spans="1:4" ht="15.75" x14ac:dyDescent="0.25">
      <c r="A70" s="226" t="s">
        <v>290</v>
      </c>
      <c r="B70" s="23">
        <f>'[6]32тарифы'!D164*B13*1.12</f>
        <v>3194.3468303409204</v>
      </c>
      <c r="C70" s="39"/>
      <c r="D70" s="40"/>
    </row>
    <row r="71" spans="1:4" ht="15.75" x14ac:dyDescent="0.25">
      <c r="A71" s="226" t="s">
        <v>291</v>
      </c>
      <c r="B71" s="23">
        <f>'[6]32тарифы'!D165*B15*1.12</f>
        <v>20744.338996686638</v>
      </c>
      <c r="C71" s="39"/>
      <c r="D71" s="40"/>
    </row>
    <row r="72" spans="1:4" ht="15.75" x14ac:dyDescent="0.25">
      <c r="A72" s="226" t="s">
        <v>292</v>
      </c>
      <c r="B72" s="23">
        <f>1.04*33130.3004503857*1.12</f>
        <v>38590.173964609268</v>
      </c>
      <c r="C72" s="39"/>
      <c r="D72" s="40"/>
    </row>
    <row r="73" spans="1:4" ht="15.75" x14ac:dyDescent="0.25">
      <c r="A73" s="226" t="s">
        <v>293</v>
      </c>
      <c r="B73" s="23">
        <f>1.04*5621.62886295929*1.12</f>
        <v>6548.0732995749822</v>
      </c>
      <c r="C73" s="39"/>
      <c r="D73" s="40"/>
    </row>
    <row r="74" spans="1:4" ht="15.75" x14ac:dyDescent="0.25">
      <c r="A74" s="226" t="s">
        <v>294</v>
      </c>
      <c r="B74" s="23">
        <f>1.04*47467.3405035705*1.12</f>
        <v>55289.958218558932</v>
      </c>
      <c r="C74" s="39"/>
      <c r="D74" s="40"/>
    </row>
    <row r="75" spans="1:4" ht="63" x14ac:dyDescent="0.25">
      <c r="A75" s="233" t="s">
        <v>295</v>
      </c>
      <c r="B75" s="208">
        <f>SUM(B76:B76)</f>
        <v>88055.52</v>
      </c>
      <c r="C75" s="39"/>
      <c r="D75" s="40"/>
    </row>
    <row r="76" spans="1:4" ht="15.75" x14ac:dyDescent="0.25">
      <c r="A76" s="226" t="s">
        <v>296</v>
      </c>
      <c r="B76" s="23">
        <f>78621*1.12</f>
        <v>88055.52</v>
      </c>
      <c r="C76" s="39"/>
      <c r="D76" s="40"/>
    </row>
    <row r="77" spans="1:4" s="8" customFormat="1" ht="15.75" x14ac:dyDescent="0.25">
      <c r="A77" s="230" t="s">
        <v>297</v>
      </c>
      <c r="B77" s="208">
        <f>SUM(B78:B81)</f>
        <v>133502.47246403879</v>
      </c>
      <c r="C77" s="39"/>
      <c r="D77" s="40"/>
    </row>
    <row r="78" spans="1:4" ht="15.75" x14ac:dyDescent="0.25">
      <c r="A78" s="234" t="s">
        <v>298</v>
      </c>
      <c r="B78" s="23">
        <f>'[6]32тарифы'!D170*B15*1.12</f>
        <v>78285.599123630396</v>
      </c>
      <c r="C78" s="39"/>
      <c r="D78" s="40"/>
    </row>
    <row r="79" spans="1:4" ht="18.75" customHeight="1" x14ac:dyDescent="0.25">
      <c r="A79" s="234" t="s">
        <v>299</v>
      </c>
      <c r="B79" s="232">
        <v>33652</v>
      </c>
      <c r="C79" s="39"/>
      <c r="D79" s="40"/>
    </row>
    <row r="80" spans="1:4" ht="15.75" x14ac:dyDescent="0.25">
      <c r="A80" s="235" t="s">
        <v>300</v>
      </c>
      <c r="B80" s="23">
        <f>8026.4+7851.73</f>
        <v>15878.13</v>
      </c>
      <c r="C80" s="39"/>
      <c r="D80" s="40"/>
    </row>
    <row r="81" spans="1:4" ht="15.75" x14ac:dyDescent="0.25">
      <c r="A81" s="235" t="s">
        <v>301</v>
      </c>
      <c r="B81" s="23">
        <f>'[6]32тарифы'!D173*B13*1.12</f>
        <v>5686.7433404083786</v>
      </c>
      <c r="C81" s="39"/>
      <c r="D81" s="40"/>
    </row>
    <row r="82" spans="1:4" ht="15.75" x14ac:dyDescent="0.25">
      <c r="A82" s="236" t="s">
        <v>302</v>
      </c>
      <c r="B82" s="28">
        <f>B32+B42+B46+B66+B75+B77</f>
        <v>581525.63090323354</v>
      </c>
      <c r="C82" s="39"/>
      <c r="D82" s="40"/>
    </row>
    <row r="83" spans="1:4" ht="15.75" x14ac:dyDescent="0.25">
      <c r="A83" s="237" t="s">
        <v>303</v>
      </c>
      <c r="B83" s="23">
        <f>B82*0.03</f>
        <v>17445.768927097004</v>
      </c>
      <c r="C83" s="39"/>
      <c r="D83" s="40"/>
    </row>
    <row r="84" spans="1:4" s="34" customFormat="1" ht="15.75" x14ac:dyDescent="0.25">
      <c r="A84" s="238" t="s">
        <v>304</v>
      </c>
      <c r="B84" s="208">
        <f>B82+B83</f>
        <v>598971.39983033051</v>
      </c>
      <c r="C84" s="39"/>
      <c r="D84" s="40"/>
    </row>
    <row r="85" spans="1:4" ht="16.5" thickBot="1" x14ac:dyDescent="0.3">
      <c r="A85" s="239" t="s">
        <v>305</v>
      </c>
      <c r="B85" s="240">
        <f>B84*0.2</f>
        <v>119794.27996606611</v>
      </c>
      <c r="C85" s="39"/>
      <c r="D85" s="40"/>
    </row>
    <row r="86" spans="1:4" s="8" customFormat="1" ht="16.5" thickBot="1" x14ac:dyDescent="0.3">
      <c r="A86" s="58" t="s">
        <v>306</v>
      </c>
      <c r="B86" s="66">
        <f>B84+B85</f>
        <v>718765.67979639664</v>
      </c>
      <c r="C86" s="60"/>
      <c r="D86" s="61"/>
    </row>
    <row r="87" spans="1:4" s="8" customFormat="1" ht="16.5" thickBot="1" x14ac:dyDescent="0.3">
      <c r="A87" s="62" t="s">
        <v>307</v>
      </c>
      <c r="B87" s="296">
        <f>B10+B24+B26+B28+B29-B86</f>
        <v>-413675.44087279338</v>
      </c>
      <c r="C87" s="63"/>
      <c r="D87" s="63"/>
    </row>
    <row r="88" spans="1:4" s="8" customFormat="1" ht="16.5" thickBot="1" x14ac:dyDescent="0.3">
      <c r="A88" s="64" t="s">
        <v>308</v>
      </c>
      <c r="B88" s="66">
        <f>B10+B25+B27+B28+B29-B86</f>
        <v>-434517.7108727934</v>
      </c>
      <c r="C88" s="63"/>
      <c r="D88" s="63"/>
    </row>
    <row r="89" spans="1:4" s="8" customFormat="1" ht="16.5" hidden="1" thickBot="1" x14ac:dyDescent="0.3">
      <c r="A89" s="241" t="s">
        <v>309</v>
      </c>
      <c r="B89" s="66">
        <f>B11+B24-B25</f>
        <v>10178.390000000014</v>
      </c>
      <c r="C89" s="63"/>
      <c r="D89" s="63"/>
    </row>
    <row r="90" spans="1:4" ht="15.75" x14ac:dyDescent="0.25">
      <c r="A90" s="3"/>
      <c r="B90" s="227"/>
      <c r="C90" s="3"/>
      <c r="D90" s="3"/>
    </row>
    <row r="91" spans="1:4" ht="15.75" x14ac:dyDescent="0.25">
      <c r="A91" s="69"/>
      <c r="B91" s="3"/>
      <c r="C91" s="3"/>
      <c r="D91" s="3"/>
    </row>
    <row r="92" spans="1:4" ht="15.75" x14ac:dyDescent="0.25">
      <c r="A92" s="333" t="s">
        <v>407</v>
      </c>
      <c r="B92" s="333"/>
      <c r="C92" s="3"/>
      <c r="D92" s="3"/>
    </row>
    <row r="93" spans="1:4" ht="15.75" x14ac:dyDescent="0.25">
      <c r="A93" s="69"/>
      <c r="B93" s="3"/>
      <c r="C93" s="3"/>
      <c r="D93" s="3"/>
    </row>
    <row r="94" spans="1:4" ht="15.75" hidden="1" x14ac:dyDescent="0.25">
      <c r="A94" s="342" t="s">
        <v>408</v>
      </c>
      <c r="B94" s="342"/>
      <c r="C94" s="72"/>
      <c r="D94" s="3"/>
    </row>
    <row r="95" spans="1:4" ht="15.75" x14ac:dyDescent="0.25">
      <c r="A95" s="3"/>
      <c r="B95" s="3"/>
      <c r="C95" s="3"/>
      <c r="D95" s="3"/>
    </row>
  </sheetData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77"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pageSetUpPr fitToPage="1"/>
  </sheetPr>
  <dimension ref="A1:G95"/>
  <sheetViews>
    <sheetView view="pageBreakPreview" topLeftCell="A36" zoomScale="80" zoomScaleNormal="100" zoomScaleSheetLayoutView="80" workbookViewId="0">
      <selection activeCell="B81" sqref="B81"/>
    </sheetView>
  </sheetViews>
  <sheetFormatPr defaultRowHeight="12.75" x14ac:dyDescent="0.2"/>
  <cols>
    <col min="1" max="1" width="96.42578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13" t="s">
        <v>224</v>
      </c>
      <c r="B1" s="313"/>
      <c r="C1" s="3"/>
      <c r="D1" s="3"/>
    </row>
    <row r="2" spans="1:4" ht="16.5" x14ac:dyDescent="0.25">
      <c r="A2" s="315" t="s">
        <v>225</v>
      </c>
      <c r="B2" s="315"/>
      <c r="C2" s="3"/>
      <c r="D2" s="3"/>
    </row>
    <row r="3" spans="1:4" ht="16.5" x14ac:dyDescent="0.25">
      <c r="A3" s="315" t="s">
        <v>226</v>
      </c>
      <c r="B3" s="315"/>
      <c r="C3" s="3"/>
      <c r="D3" s="3"/>
    </row>
    <row r="4" spans="1:4" ht="15.75" x14ac:dyDescent="0.25">
      <c r="A4" s="4" t="s">
        <v>516</v>
      </c>
      <c r="B4" s="4"/>
      <c r="C4" s="3"/>
      <c r="D4" s="3"/>
    </row>
    <row r="5" spans="1:4" ht="15.75" x14ac:dyDescent="0.25">
      <c r="A5" s="4" t="s">
        <v>164</v>
      </c>
      <c r="B5" s="4"/>
      <c r="C5" s="3"/>
      <c r="D5" s="3"/>
    </row>
    <row r="6" spans="1:4" ht="14.25" customHeight="1" x14ac:dyDescent="0.25">
      <c r="A6" s="4"/>
      <c r="B6" s="8"/>
      <c r="C6" s="8"/>
      <c r="D6" s="3"/>
    </row>
    <row r="7" spans="1:4" ht="16.5" thickBot="1" x14ac:dyDescent="0.3">
      <c r="A7" s="9"/>
      <c r="B7" s="8"/>
      <c r="C7" s="8"/>
      <c r="D7" s="3"/>
    </row>
    <row r="8" spans="1:4" ht="15.75" customHeight="1" x14ac:dyDescent="0.2">
      <c r="A8" s="335" t="s">
        <v>227</v>
      </c>
      <c r="B8" s="337" t="s">
        <v>228</v>
      </c>
      <c r="C8" s="307" t="s">
        <v>229</v>
      </c>
      <c r="D8" s="307" t="s">
        <v>230</v>
      </c>
    </row>
    <row r="9" spans="1:4" ht="28.5" customHeight="1" thickBot="1" x14ac:dyDescent="0.25">
      <c r="A9" s="336"/>
      <c r="B9" s="338"/>
      <c r="C9" s="308"/>
      <c r="D9" s="308"/>
    </row>
    <row r="10" spans="1:4" s="212" customFormat="1" ht="16.5" thickBot="1" x14ac:dyDescent="0.3">
      <c r="A10" s="209" t="s">
        <v>231</v>
      </c>
      <c r="B10" s="304">
        <f>VLOOKUP(A5,мкд!S:T,2,FALSE)</f>
        <v>-1227713.31</v>
      </c>
      <c r="C10" s="211"/>
      <c r="D10" s="211"/>
    </row>
    <row r="11" spans="1:4" s="212" customFormat="1" ht="16.5" hidden="1" thickBot="1" x14ac:dyDescent="0.3">
      <c r="A11" s="213" t="s">
        <v>232</v>
      </c>
      <c r="B11" s="243"/>
      <c r="C11" s="215"/>
      <c r="D11" s="215"/>
    </row>
    <row r="12" spans="1:4" ht="15.75" x14ac:dyDescent="0.25">
      <c r="A12" s="216" t="s">
        <v>233</v>
      </c>
      <c r="B12" s="217"/>
      <c r="C12" s="17" t="s">
        <v>234</v>
      </c>
      <c r="D12" s="18" t="s">
        <v>234</v>
      </c>
    </row>
    <row r="13" spans="1:4" ht="15.75" hidden="1" x14ac:dyDescent="0.25">
      <c r="A13" s="182" t="s">
        <v>235</v>
      </c>
      <c r="B13" s="20">
        <v>3563.5</v>
      </c>
      <c r="C13" s="21" t="s">
        <v>234</v>
      </c>
      <c r="D13" s="22" t="s">
        <v>234</v>
      </c>
    </row>
    <row r="14" spans="1:4" ht="15.75" hidden="1" x14ac:dyDescent="0.25">
      <c r="A14" s="182" t="s">
        <v>236</v>
      </c>
      <c r="B14" s="20">
        <v>0</v>
      </c>
      <c r="C14" s="21"/>
      <c r="D14" s="22"/>
    </row>
    <row r="15" spans="1:4" ht="15.75" x14ac:dyDescent="0.25">
      <c r="A15" s="219" t="s">
        <v>237</v>
      </c>
      <c r="B15" s="23">
        <f>B13+B14</f>
        <v>3563.5</v>
      </c>
      <c r="C15" s="21"/>
      <c r="D15" s="22"/>
    </row>
    <row r="16" spans="1:4" ht="15.75" x14ac:dyDescent="0.25">
      <c r="A16" s="219" t="s">
        <v>238</v>
      </c>
      <c r="B16" s="23">
        <f>1372.1+3905.5/3</f>
        <v>2673.9333333333334</v>
      </c>
      <c r="C16" s="21" t="s">
        <v>234</v>
      </c>
      <c r="D16" s="22" t="s">
        <v>234</v>
      </c>
    </row>
    <row r="17" spans="1:7" ht="15.75" hidden="1" x14ac:dyDescent="0.25">
      <c r="A17" s="182" t="s">
        <v>239</v>
      </c>
      <c r="B17" s="20">
        <v>0</v>
      </c>
      <c r="C17" s="21" t="s">
        <v>234</v>
      </c>
      <c r="D17" s="22" t="s">
        <v>234</v>
      </c>
      <c r="E17" s="3"/>
      <c r="F17" s="3"/>
      <c r="G17" s="3"/>
    </row>
    <row r="18" spans="1:7" ht="15.75" hidden="1" x14ac:dyDescent="0.25">
      <c r="A18" s="182" t="s">
        <v>240</v>
      </c>
      <c r="B18" s="20">
        <v>860</v>
      </c>
      <c r="C18" s="21" t="s">
        <v>234</v>
      </c>
      <c r="D18" s="22" t="s">
        <v>234</v>
      </c>
      <c r="E18" s="3"/>
      <c r="F18" s="3"/>
      <c r="G18" s="3"/>
    </row>
    <row r="19" spans="1:7" ht="15.75" hidden="1" x14ac:dyDescent="0.25">
      <c r="A19" s="182" t="s">
        <v>241</v>
      </c>
      <c r="B19" s="20">
        <v>864</v>
      </c>
      <c r="C19" s="21" t="s">
        <v>234</v>
      </c>
      <c r="D19" s="22" t="s">
        <v>234</v>
      </c>
      <c r="E19" s="3"/>
      <c r="F19" s="3"/>
      <c r="G19" s="3"/>
    </row>
    <row r="20" spans="1:7" ht="15.75" hidden="1" x14ac:dyDescent="0.25">
      <c r="A20" s="182" t="s">
        <v>242</v>
      </c>
      <c r="B20" s="20">
        <v>1146</v>
      </c>
      <c r="C20" s="21"/>
      <c r="D20" s="22"/>
      <c r="E20" s="3"/>
      <c r="F20" s="3"/>
      <c r="G20" s="3"/>
    </row>
    <row r="21" spans="1:7" ht="15.75" hidden="1" x14ac:dyDescent="0.25">
      <c r="A21" s="182" t="s">
        <v>243</v>
      </c>
      <c r="B21" s="20">
        <v>0</v>
      </c>
      <c r="C21" s="21" t="s">
        <v>234</v>
      </c>
      <c r="D21" s="22" t="s">
        <v>234</v>
      </c>
      <c r="E21" s="3"/>
      <c r="F21" s="3"/>
      <c r="G21" s="3"/>
    </row>
    <row r="22" spans="1:7" ht="15.75" hidden="1" x14ac:dyDescent="0.25">
      <c r="A22" s="182" t="s">
        <v>244</v>
      </c>
      <c r="B22" s="20">
        <v>195</v>
      </c>
      <c r="C22" s="21"/>
      <c r="D22" s="22"/>
      <c r="E22" s="3"/>
      <c r="F22" s="3"/>
      <c r="G22" s="3"/>
    </row>
    <row r="23" spans="1:7" ht="15.75" x14ac:dyDescent="0.25">
      <c r="A23" s="219"/>
      <c r="B23" s="23"/>
      <c r="C23" s="21"/>
      <c r="D23" s="22"/>
      <c r="E23" s="3"/>
      <c r="F23" s="3"/>
      <c r="G23" s="3"/>
    </row>
    <row r="24" spans="1:7" ht="15.75" x14ac:dyDescent="0.25">
      <c r="A24" s="220" t="s">
        <v>319</v>
      </c>
      <c r="B24" s="28">
        <f>VLOOKUP(A5,'[5]Лист  1'!M$1:N$65536,2,FALSE)</f>
        <v>674953.6</v>
      </c>
      <c r="C24" s="21"/>
      <c r="D24" s="22"/>
      <c r="E24" s="3">
        <v>15.48</v>
      </c>
      <c r="F24" s="3">
        <v>17.328312</v>
      </c>
      <c r="G24" s="3"/>
    </row>
    <row r="25" spans="1:7" ht="15.75" x14ac:dyDescent="0.25">
      <c r="A25" s="220" t="s">
        <v>320</v>
      </c>
      <c r="B25" s="28">
        <f>VLOOKUP(A5,'[5]Лист  1'!M$1:O$65536,3,FALSE)</f>
        <v>655946.35</v>
      </c>
      <c r="C25" s="21"/>
      <c r="D25" s="22"/>
      <c r="E25" s="3"/>
      <c r="F25" s="3"/>
      <c r="G25" s="3"/>
    </row>
    <row r="26" spans="1:7" ht="15.75" hidden="1" x14ac:dyDescent="0.25">
      <c r="A26" s="220" t="s">
        <v>353</v>
      </c>
      <c r="B26" s="28"/>
      <c r="C26" s="21"/>
      <c r="D26" s="22"/>
      <c r="E26" s="3"/>
      <c r="F26" s="3"/>
      <c r="G26" s="3"/>
    </row>
    <row r="27" spans="1:7" ht="15.75" hidden="1" x14ac:dyDescent="0.25">
      <c r="A27" s="220" t="s">
        <v>354</v>
      </c>
      <c r="B27" s="28"/>
      <c r="C27" s="21"/>
      <c r="D27" s="22"/>
      <c r="E27" s="3"/>
      <c r="F27" s="3"/>
      <c r="G27" s="3"/>
    </row>
    <row r="28" spans="1:7" ht="15.75" x14ac:dyDescent="0.25">
      <c r="A28" s="220" t="s">
        <v>399</v>
      </c>
      <c r="B28" s="28">
        <v>7611.96</v>
      </c>
      <c r="C28" s="21"/>
      <c r="D28" s="22"/>
      <c r="E28" s="3"/>
      <c r="F28" s="3"/>
      <c r="G28" s="3"/>
    </row>
    <row r="29" spans="1:7" ht="15.75" hidden="1" x14ac:dyDescent="0.25">
      <c r="A29" s="220" t="s">
        <v>250</v>
      </c>
      <c r="B29" s="23"/>
      <c r="C29" s="21"/>
      <c r="D29" s="22"/>
      <c r="E29" s="3"/>
      <c r="F29" s="3"/>
      <c r="G29" s="3"/>
    </row>
    <row r="30" spans="1:7" ht="15.75" x14ac:dyDescent="0.25">
      <c r="A30" s="221"/>
      <c r="B30" s="23"/>
      <c r="C30" s="21"/>
      <c r="D30" s="22"/>
      <c r="E30" s="3"/>
      <c r="F30" s="3"/>
      <c r="G30" s="3"/>
    </row>
    <row r="31" spans="1:7" ht="15.75" x14ac:dyDescent="0.25">
      <c r="A31" s="222" t="s">
        <v>251</v>
      </c>
      <c r="B31" s="23"/>
      <c r="C31" s="21"/>
      <c r="D31" s="22"/>
      <c r="E31" s="3"/>
      <c r="F31" s="3"/>
      <c r="G31" s="3"/>
    </row>
    <row r="32" spans="1:7" s="34" customFormat="1" ht="31.5" x14ac:dyDescent="0.25">
      <c r="A32" s="223" t="s">
        <v>252</v>
      </c>
      <c r="B32" s="208">
        <f>SUM(B33:B41)</f>
        <v>117731</v>
      </c>
      <c r="C32" s="21"/>
      <c r="D32" s="22"/>
      <c r="E32" s="33">
        <f>(B86-B24-B26)/1.2/1.03</f>
        <v>283928.19269700244</v>
      </c>
      <c r="F32" s="33" t="e">
        <f>(#REF!-#REF!-#REF!)/1.2/1.03</f>
        <v>#REF!</v>
      </c>
      <c r="G32" s="33" t="e">
        <f>(#REF!-#REF!-#REF!)/1.2/1.03</f>
        <v>#REF!</v>
      </c>
    </row>
    <row r="33" spans="1:7" ht="15.75" x14ac:dyDescent="0.25">
      <c r="A33" s="224" t="s">
        <v>253</v>
      </c>
      <c r="B33" s="23">
        <v>47200</v>
      </c>
      <c r="C33" s="21"/>
      <c r="D33" s="22">
        <v>34662.519999999997</v>
      </c>
      <c r="E33" s="3"/>
      <c r="F33" s="3"/>
      <c r="G33" s="3"/>
    </row>
    <row r="34" spans="1:7" ht="15.75" hidden="1" x14ac:dyDescent="0.25">
      <c r="A34" s="225" t="s">
        <v>400</v>
      </c>
      <c r="B34" s="20"/>
      <c r="C34" s="21"/>
      <c r="D34" s="22">
        <v>0</v>
      </c>
      <c r="E34" s="3"/>
      <c r="F34" s="3"/>
      <c r="G34" s="3"/>
    </row>
    <row r="35" spans="1:7" ht="15.75" hidden="1" x14ac:dyDescent="0.25">
      <c r="A35" s="225" t="s">
        <v>256</v>
      </c>
      <c r="B35" s="20"/>
      <c r="C35" s="21"/>
      <c r="D35" s="22">
        <v>0</v>
      </c>
      <c r="E35" s="3"/>
      <c r="F35" s="3"/>
      <c r="G35" s="3"/>
    </row>
    <row r="36" spans="1:7" ht="15.75" x14ac:dyDescent="0.25">
      <c r="A36" s="224" t="s">
        <v>255</v>
      </c>
      <c r="B36" s="23">
        <f>49163+21368</f>
        <v>70531</v>
      </c>
      <c r="C36" s="21" t="s">
        <v>234</v>
      </c>
      <c r="D36" s="22">
        <v>0</v>
      </c>
      <c r="E36" s="3"/>
      <c r="F36" s="3"/>
      <c r="G36" s="3"/>
    </row>
    <row r="37" spans="1:7" ht="15.75" hidden="1" x14ac:dyDescent="0.25">
      <c r="A37" s="225" t="s">
        <v>409</v>
      </c>
      <c r="B37" s="20"/>
      <c r="C37" s="21"/>
      <c r="D37" s="22">
        <v>0</v>
      </c>
      <c r="E37" s="3"/>
      <c r="F37" s="3"/>
      <c r="G37" s="3"/>
    </row>
    <row r="38" spans="1:7" ht="15.75" hidden="1" x14ac:dyDescent="0.25">
      <c r="A38" s="224" t="s">
        <v>410</v>
      </c>
      <c r="B38" s="23"/>
      <c r="C38" s="21">
        <v>0</v>
      </c>
      <c r="D38" s="22">
        <v>0</v>
      </c>
      <c r="E38" s="3"/>
      <c r="F38" s="3"/>
      <c r="G38" s="3"/>
    </row>
    <row r="39" spans="1:7" ht="15.75" hidden="1" x14ac:dyDescent="0.25">
      <c r="A39" s="187" t="s">
        <v>259</v>
      </c>
      <c r="B39" s="20"/>
      <c r="C39" s="21"/>
      <c r="D39" s="22">
        <v>0</v>
      </c>
      <c r="E39" s="3"/>
      <c r="F39" s="3"/>
      <c r="G39" s="3"/>
    </row>
    <row r="40" spans="1:7" ht="15.75" hidden="1" x14ac:dyDescent="0.25">
      <c r="A40" s="187" t="s">
        <v>343</v>
      </c>
      <c r="B40" s="20"/>
      <c r="C40" s="21"/>
      <c r="D40" s="22"/>
      <c r="E40" s="3"/>
      <c r="F40" s="3"/>
      <c r="G40" s="3"/>
    </row>
    <row r="41" spans="1:7" ht="15.75" hidden="1" x14ac:dyDescent="0.25">
      <c r="A41" s="35" t="s">
        <v>363</v>
      </c>
      <c r="B41" s="23"/>
      <c r="C41" s="21"/>
      <c r="D41" s="22"/>
      <c r="E41" s="3"/>
      <c r="F41" s="3"/>
      <c r="G41" s="3"/>
    </row>
    <row r="42" spans="1:7" s="34" customFormat="1" ht="47.25" x14ac:dyDescent="0.25">
      <c r="A42" s="223" t="s">
        <v>401</v>
      </c>
      <c r="B42" s="208">
        <f>SUM(B43:B45)</f>
        <v>178554.185145355</v>
      </c>
      <c r="C42" s="21"/>
      <c r="D42" s="22"/>
      <c r="E42" s="33"/>
      <c r="F42" s="33"/>
      <c r="G42" s="33"/>
    </row>
    <row r="43" spans="1:7" ht="15.75" x14ac:dyDescent="0.25">
      <c r="A43" s="35" t="s">
        <v>262</v>
      </c>
      <c r="B43" s="23">
        <v>159422.76</v>
      </c>
      <c r="C43" s="39"/>
      <c r="D43" s="40"/>
      <c r="E43" s="3"/>
      <c r="F43" s="3"/>
      <c r="G43" s="3"/>
    </row>
    <row r="44" spans="1:7" ht="15.75" x14ac:dyDescent="0.25">
      <c r="A44" s="35" t="s">
        <v>263</v>
      </c>
      <c r="B44" s="23"/>
      <c r="C44" s="39"/>
      <c r="D44" s="40"/>
      <c r="E44" s="3"/>
      <c r="F44" s="3"/>
      <c r="G44" s="3"/>
    </row>
    <row r="45" spans="1:7" ht="15.75" x14ac:dyDescent="0.25">
      <c r="A45" s="226" t="s">
        <v>264</v>
      </c>
      <c r="B45" s="23">
        <f>'[6]32тарифы'!D163*B15+201.25*1.12</f>
        <v>19131.42514535501</v>
      </c>
      <c r="C45" s="39"/>
      <c r="D45" s="40"/>
      <c r="E45" s="3"/>
      <c r="F45" s="3"/>
      <c r="G45" s="3"/>
    </row>
    <row r="46" spans="1:7" s="8" customFormat="1" ht="15.75" x14ac:dyDescent="0.25">
      <c r="A46" s="223" t="s">
        <v>265</v>
      </c>
      <c r="B46" s="208">
        <f>SUM(B47:B65)</f>
        <v>55344.369999999995</v>
      </c>
      <c r="C46" s="21"/>
      <c r="D46" s="22"/>
    </row>
    <row r="47" spans="1:7" ht="15.75" x14ac:dyDescent="0.25">
      <c r="A47" s="224" t="s">
        <v>326</v>
      </c>
      <c r="B47" s="23">
        <v>3612</v>
      </c>
      <c r="C47" s="21"/>
      <c r="D47" s="22"/>
      <c r="E47" s="3" t="s">
        <v>267</v>
      </c>
      <c r="F47" s="3"/>
      <c r="G47" s="3"/>
    </row>
    <row r="48" spans="1:7" ht="15.75" x14ac:dyDescent="0.25">
      <c r="A48" s="224" t="s">
        <v>317</v>
      </c>
      <c r="B48" s="23">
        <v>4386</v>
      </c>
      <c r="C48" s="21"/>
      <c r="D48" s="22"/>
      <c r="E48" s="3" t="s">
        <v>269</v>
      </c>
      <c r="F48" s="3"/>
      <c r="G48" s="3"/>
    </row>
    <row r="49" spans="1:5" ht="15.75" hidden="1" x14ac:dyDescent="0.25">
      <c r="A49" s="143" t="s">
        <v>270</v>
      </c>
      <c r="B49" s="23">
        <v>0</v>
      </c>
      <c r="C49" s="21"/>
      <c r="D49" s="22"/>
      <c r="E49" s="3"/>
    </row>
    <row r="50" spans="1:5" ht="15.75" hidden="1" x14ac:dyDescent="0.25">
      <c r="A50" s="228" t="s">
        <v>380</v>
      </c>
      <c r="B50" s="20">
        <v>0</v>
      </c>
      <c r="C50" s="21"/>
      <c r="D50" s="22"/>
      <c r="E50" s="3"/>
    </row>
    <row r="51" spans="1:5" ht="15.75" hidden="1" x14ac:dyDescent="0.25">
      <c r="A51" s="143" t="s">
        <v>272</v>
      </c>
      <c r="B51" s="23">
        <v>0</v>
      </c>
      <c r="C51" s="21"/>
      <c r="D51" s="22"/>
      <c r="E51" s="3"/>
    </row>
    <row r="52" spans="1:5" ht="15.75" hidden="1" x14ac:dyDescent="0.25">
      <c r="A52" s="143" t="s">
        <v>316</v>
      </c>
      <c r="B52" s="23">
        <f>B21*'[6]32тарифы'!D177</f>
        <v>0</v>
      </c>
      <c r="C52" s="21"/>
      <c r="D52" s="22">
        <v>105.14</v>
      </c>
      <c r="E52" s="3"/>
    </row>
    <row r="53" spans="1:5" ht="15.75" x14ac:dyDescent="0.25">
      <c r="A53" s="228" t="s">
        <v>542</v>
      </c>
      <c r="B53" s="20">
        <v>4200</v>
      </c>
      <c r="C53" s="21">
        <v>0</v>
      </c>
      <c r="D53" s="22">
        <v>522.99</v>
      </c>
      <c r="E53" s="3"/>
    </row>
    <row r="54" spans="1:5" ht="15.75" hidden="1" x14ac:dyDescent="0.25">
      <c r="A54" s="188" t="s">
        <v>275</v>
      </c>
      <c r="B54" s="20"/>
      <c r="C54" s="21">
        <v>1</v>
      </c>
      <c r="D54" s="44">
        <v>695.13</v>
      </c>
      <c r="E54" s="3"/>
    </row>
    <row r="55" spans="1:5" ht="15.75" hidden="1" x14ac:dyDescent="0.25">
      <c r="A55" s="143" t="s">
        <v>350</v>
      </c>
      <c r="B55" s="23"/>
      <c r="C55" s="21"/>
      <c r="D55" s="44"/>
      <c r="E55" s="3"/>
    </row>
    <row r="56" spans="1:5" ht="15.75" x14ac:dyDescent="0.25">
      <c r="A56" s="143" t="s">
        <v>540</v>
      </c>
      <c r="B56" s="23">
        <v>10286.59</v>
      </c>
      <c r="C56" s="21">
        <v>0</v>
      </c>
      <c r="D56" s="22">
        <f>10695.76/1.18</f>
        <v>9064.203389830509</v>
      </c>
      <c r="E56" s="3"/>
    </row>
    <row r="57" spans="1:5" ht="15.75" x14ac:dyDescent="0.25">
      <c r="A57" s="143" t="s">
        <v>380</v>
      </c>
      <c r="B57" s="23">
        <v>8133.61</v>
      </c>
      <c r="C57" s="21">
        <v>0</v>
      </c>
      <c r="D57" s="22">
        <f>2300/1.18</f>
        <v>1949.1525423728815</v>
      </c>
      <c r="E57" s="3"/>
    </row>
    <row r="58" spans="1:5" ht="15.75" hidden="1" x14ac:dyDescent="0.25">
      <c r="A58" s="228" t="s">
        <v>348</v>
      </c>
      <c r="B58" s="20"/>
      <c r="C58" s="21">
        <v>0</v>
      </c>
      <c r="D58" s="22">
        <v>0</v>
      </c>
      <c r="E58" s="227">
        <f>B80+B46-B59+3484.26</f>
        <v>76984.749999999985</v>
      </c>
    </row>
    <row r="59" spans="1:5" ht="15.75" hidden="1" x14ac:dyDescent="0.25">
      <c r="A59" s="228" t="s">
        <v>279</v>
      </c>
      <c r="B59" s="20">
        <f>B13*'[6]32тарифы'!D184</f>
        <v>0</v>
      </c>
      <c r="C59" s="21"/>
      <c r="D59" s="22"/>
      <c r="E59" s="3"/>
    </row>
    <row r="60" spans="1:5" ht="15.75" hidden="1" x14ac:dyDescent="0.25">
      <c r="A60" s="187" t="s">
        <v>351</v>
      </c>
      <c r="B60" s="20">
        <v>0</v>
      </c>
      <c r="C60" s="21"/>
      <c r="D60" s="22"/>
      <c r="E60" s="3"/>
    </row>
    <row r="61" spans="1:5" ht="15.75" hidden="1" x14ac:dyDescent="0.25">
      <c r="A61" s="187" t="s">
        <v>411</v>
      </c>
      <c r="B61" s="20">
        <v>0</v>
      </c>
      <c r="C61" s="21"/>
      <c r="D61" s="22">
        <v>0</v>
      </c>
      <c r="E61" s="3"/>
    </row>
    <row r="62" spans="1:5" ht="15.75" x14ac:dyDescent="0.25">
      <c r="A62" s="225" t="s">
        <v>282</v>
      </c>
      <c r="B62" s="20">
        <v>36.369999999999997</v>
      </c>
      <c r="C62" s="21"/>
      <c r="D62" s="22">
        <v>0</v>
      </c>
      <c r="E62" s="3"/>
    </row>
    <row r="63" spans="1:5" ht="15.75" x14ac:dyDescent="0.25">
      <c r="A63" s="224" t="s">
        <v>327</v>
      </c>
      <c r="B63" s="229">
        <v>24689.8</v>
      </c>
      <c r="C63" s="46">
        <v>1</v>
      </c>
      <c r="D63" s="22">
        <v>0</v>
      </c>
      <c r="E63" s="3"/>
    </row>
    <row r="64" spans="1:5" ht="15.75" hidden="1" x14ac:dyDescent="0.25">
      <c r="A64" s="187" t="s">
        <v>284</v>
      </c>
      <c r="B64" s="112">
        <v>0</v>
      </c>
      <c r="C64" s="46">
        <v>80</v>
      </c>
      <c r="D64" s="22">
        <v>2</v>
      </c>
      <c r="E64" s="3">
        <v>1</v>
      </c>
    </row>
    <row r="65" spans="1:4" ht="15.75" hidden="1" x14ac:dyDescent="0.25">
      <c r="A65" s="187" t="s">
        <v>285</v>
      </c>
      <c r="B65" s="112">
        <v>0</v>
      </c>
      <c r="C65" s="48"/>
      <c r="D65" s="40">
        <v>0</v>
      </c>
    </row>
    <row r="66" spans="1:4" s="8" customFormat="1" ht="15.75" x14ac:dyDescent="0.25">
      <c r="A66" s="230" t="s">
        <v>286</v>
      </c>
      <c r="B66" s="208">
        <f>SUM(B67:B74)</f>
        <v>255155.88023547639</v>
      </c>
      <c r="C66" s="39"/>
      <c r="D66" s="40"/>
    </row>
    <row r="67" spans="1:4" ht="15.75" hidden="1" x14ac:dyDescent="0.25">
      <c r="A67" s="187" t="s">
        <v>287</v>
      </c>
      <c r="B67" s="20">
        <v>0</v>
      </c>
      <c r="C67" s="39"/>
      <c r="D67" s="40"/>
    </row>
    <row r="68" spans="1:4" ht="15.75" x14ac:dyDescent="0.25">
      <c r="A68" s="224" t="s">
        <v>288</v>
      </c>
      <c r="B68" s="232">
        <f>1.04*100996.57*1.12</f>
        <v>117640.80473600002</v>
      </c>
      <c r="C68" s="39"/>
      <c r="D68" s="40"/>
    </row>
    <row r="69" spans="1:4" ht="15.75" hidden="1" x14ac:dyDescent="0.25">
      <c r="A69" s="187" t="s">
        <v>289</v>
      </c>
      <c r="B69" s="20">
        <v>0</v>
      </c>
      <c r="C69" s="39"/>
      <c r="D69" s="40"/>
    </row>
    <row r="70" spans="1:4" ht="15.75" x14ac:dyDescent="0.25">
      <c r="A70" s="226" t="s">
        <v>290</v>
      </c>
      <c r="B70" s="23">
        <f>'[6]32тарифы'!D164*B13*1.12</f>
        <v>4400.0985426825937</v>
      </c>
      <c r="C70" s="39"/>
      <c r="D70" s="40"/>
    </row>
    <row r="71" spans="1:4" ht="15.75" x14ac:dyDescent="0.25">
      <c r="A71" s="226" t="s">
        <v>291</v>
      </c>
      <c r="B71" s="23">
        <f>'[6]32тарифы'!D165*B15*1.12</f>
        <v>22788.843952985026</v>
      </c>
      <c r="C71" s="39"/>
      <c r="D71" s="40"/>
    </row>
    <row r="72" spans="1:4" ht="15.75" x14ac:dyDescent="0.25">
      <c r="A72" s="226" t="s">
        <v>292</v>
      </c>
      <c r="B72" s="23">
        <f>1.04*36395.5316773381*1.12</f>
        <v>42393.515297763421</v>
      </c>
      <c r="C72" s="39"/>
      <c r="D72" s="40"/>
    </row>
    <row r="73" spans="1:4" ht="15.75" x14ac:dyDescent="0.25">
      <c r="A73" s="226" t="s">
        <v>293</v>
      </c>
      <c r="B73" s="23">
        <f>1.04*6175.68113112874*1.12</f>
        <v>7193.4333815387572</v>
      </c>
      <c r="C73" s="39"/>
      <c r="D73" s="40"/>
    </row>
    <row r="74" spans="1:4" ht="15.75" x14ac:dyDescent="0.25">
      <c r="A74" s="226" t="s">
        <v>294</v>
      </c>
      <c r="B74" s="23">
        <f>1.04*52145.5909379349*1.12</f>
        <v>60739.184324506583</v>
      </c>
      <c r="C74" s="39"/>
      <c r="D74" s="40"/>
    </row>
    <row r="75" spans="1:4" ht="63" x14ac:dyDescent="0.25">
      <c r="A75" s="233" t="s">
        <v>295</v>
      </c>
      <c r="B75" s="208">
        <f>SUM(B76:B76)</f>
        <v>121284.80000000002</v>
      </c>
      <c r="C75" s="39"/>
      <c r="D75" s="40"/>
    </row>
    <row r="76" spans="1:4" ht="15.75" x14ac:dyDescent="0.25">
      <c r="A76" s="226" t="s">
        <v>296</v>
      </c>
      <c r="B76" s="23">
        <f>108290*1.12</f>
        <v>121284.80000000002</v>
      </c>
      <c r="C76" s="39"/>
      <c r="D76" s="40"/>
    </row>
    <row r="77" spans="1:4" s="8" customFormat="1" ht="15.75" x14ac:dyDescent="0.25">
      <c r="A77" s="230" t="s">
        <v>297</v>
      </c>
      <c r="B77" s="208">
        <f>SUM(B78:B81)</f>
        <v>101936.92171746554</v>
      </c>
      <c r="C77" s="39"/>
      <c r="D77" s="40"/>
    </row>
    <row r="78" spans="1:4" ht="15.75" x14ac:dyDescent="0.25">
      <c r="A78" s="234" t="s">
        <v>298</v>
      </c>
      <c r="B78" s="23">
        <f>'[6]32тарифы'!D170*B15</f>
        <v>76786.796701470288</v>
      </c>
      <c r="C78" s="39"/>
      <c r="D78" s="40"/>
    </row>
    <row r="79" spans="1:4" ht="15.75" hidden="1" x14ac:dyDescent="0.25">
      <c r="A79" s="234" t="s">
        <v>299</v>
      </c>
      <c r="B79" s="232">
        <f>(B26/1.2)*30%</f>
        <v>0</v>
      </c>
      <c r="C79" s="39"/>
      <c r="D79" s="40"/>
    </row>
    <row r="80" spans="1:4" ht="15.75" x14ac:dyDescent="0.25">
      <c r="A80" s="235" t="s">
        <v>300</v>
      </c>
      <c r="B80" s="23">
        <f>10487.85+7668.27</f>
        <v>18156.120000000003</v>
      </c>
      <c r="C80" s="39"/>
      <c r="D80" s="40"/>
    </row>
    <row r="81" spans="1:4" ht="15.75" x14ac:dyDescent="0.25">
      <c r="A81" s="235" t="s">
        <v>301</v>
      </c>
      <c r="B81" s="23">
        <f>'[6]32тарифы'!D173*B13</f>
        <v>6994.0050159952425</v>
      </c>
      <c r="C81" s="39"/>
      <c r="D81" s="40"/>
    </row>
    <row r="82" spans="1:4" ht="15.75" x14ac:dyDescent="0.25">
      <c r="A82" s="236" t="s">
        <v>302</v>
      </c>
      <c r="B82" s="28">
        <f>B32+B42+B46+B66+B75+B77</f>
        <v>830007.15709829691</v>
      </c>
      <c r="C82" s="39"/>
      <c r="D82" s="40"/>
    </row>
    <row r="83" spans="1:4" ht="15.75" x14ac:dyDescent="0.25">
      <c r="A83" s="237" t="s">
        <v>303</v>
      </c>
      <c r="B83" s="23">
        <f>B82*0.03</f>
        <v>24900.214712948906</v>
      </c>
      <c r="C83" s="39"/>
      <c r="D83" s="40"/>
    </row>
    <row r="84" spans="1:4" s="34" customFormat="1" ht="15.75" x14ac:dyDescent="0.25">
      <c r="A84" s="238" t="s">
        <v>304</v>
      </c>
      <c r="B84" s="208">
        <f>B82+B83</f>
        <v>854907.3718112458</v>
      </c>
      <c r="C84" s="39"/>
      <c r="D84" s="40"/>
    </row>
    <row r="85" spans="1:4" ht="16.5" thickBot="1" x14ac:dyDescent="0.3">
      <c r="A85" s="239" t="s">
        <v>305</v>
      </c>
      <c r="B85" s="240">
        <f>B84*0.2</f>
        <v>170981.47436224917</v>
      </c>
      <c r="C85" s="39"/>
      <c r="D85" s="40"/>
    </row>
    <row r="86" spans="1:4" s="8" customFormat="1" ht="16.5" thickBot="1" x14ac:dyDescent="0.3">
      <c r="A86" s="58" t="s">
        <v>306</v>
      </c>
      <c r="B86" s="66">
        <f>B84+B85</f>
        <v>1025888.8461734949</v>
      </c>
      <c r="C86" s="60"/>
      <c r="D86" s="61"/>
    </row>
    <row r="87" spans="1:4" s="8" customFormat="1" ht="16.5" thickBot="1" x14ac:dyDescent="0.3">
      <c r="A87" s="62" t="s">
        <v>307</v>
      </c>
      <c r="B87" s="296">
        <f>B10+B24+B26+B28+B29-B86</f>
        <v>-1571036.5961734951</v>
      </c>
      <c r="C87" s="63"/>
      <c r="D87" s="63"/>
    </row>
    <row r="88" spans="1:4" s="8" customFormat="1" ht="16.5" thickBot="1" x14ac:dyDescent="0.3">
      <c r="A88" s="64" t="s">
        <v>308</v>
      </c>
      <c r="B88" s="66">
        <f>B10+B25+B27+B28+B29-B86</f>
        <v>-1590043.8461734951</v>
      </c>
      <c r="C88" s="63"/>
      <c r="D88" s="63"/>
    </row>
    <row r="89" spans="1:4" s="8" customFormat="1" ht="16.5" hidden="1" thickBot="1" x14ac:dyDescent="0.3">
      <c r="A89" s="241" t="s">
        <v>309</v>
      </c>
      <c r="B89" s="66">
        <f>B11+B24-B25</f>
        <v>19007.25</v>
      </c>
      <c r="C89" s="63"/>
      <c r="D89" s="63"/>
    </row>
    <row r="90" spans="1:4" ht="15.75" x14ac:dyDescent="0.25">
      <c r="A90" s="3"/>
      <c r="B90" s="227"/>
      <c r="C90" s="3"/>
      <c r="D90" s="3"/>
    </row>
    <row r="91" spans="1:4" ht="15.75" x14ac:dyDescent="0.25">
      <c r="A91" s="69"/>
      <c r="B91" s="3"/>
      <c r="C91" s="3"/>
      <c r="D91" s="3"/>
    </row>
    <row r="92" spans="1:4" ht="15.75" x14ac:dyDescent="0.25">
      <c r="A92" s="333" t="s">
        <v>407</v>
      </c>
      <c r="B92" s="333"/>
      <c r="C92" s="3"/>
      <c r="D92" s="3"/>
    </row>
    <row r="93" spans="1:4" ht="15.75" x14ac:dyDescent="0.25">
      <c r="A93" s="69"/>
      <c r="B93" s="3"/>
      <c r="C93" s="3"/>
      <c r="D93" s="3"/>
    </row>
    <row r="94" spans="1:4" ht="15.75" hidden="1" x14ac:dyDescent="0.25">
      <c r="A94" s="342" t="s">
        <v>408</v>
      </c>
      <c r="B94" s="342"/>
      <c r="C94" s="72"/>
      <c r="D94" s="3"/>
    </row>
    <row r="95" spans="1:4" ht="15.75" x14ac:dyDescent="0.25">
      <c r="A95" s="3"/>
      <c r="B95" s="3"/>
      <c r="C95" s="3"/>
      <c r="D95" s="3"/>
    </row>
  </sheetData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80"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 filterMode="1">
    <pageSetUpPr fitToPage="1"/>
  </sheetPr>
  <dimension ref="A1:G96"/>
  <sheetViews>
    <sheetView view="pageBreakPreview" topLeftCell="A28" zoomScale="70" zoomScaleNormal="100" zoomScaleSheetLayoutView="70" workbookViewId="0">
      <selection activeCell="B81" sqref="B81"/>
    </sheetView>
  </sheetViews>
  <sheetFormatPr defaultRowHeight="12.75" x14ac:dyDescent="0.2"/>
  <cols>
    <col min="1" max="1" width="96.42578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13" t="s">
        <v>224</v>
      </c>
      <c r="B1" s="313"/>
      <c r="C1" s="3"/>
      <c r="D1" s="3"/>
    </row>
    <row r="2" spans="1:4" ht="16.5" x14ac:dyDescent="0.25">
      <c r="A2" s="315" t="s">
        <v>225</v>
      </c>
      <c r="B2" s="315"/>
      <c r="C2" s="3"/>
      <c r="D2" s="3"/>
    </row>
    <row r="3" spans="1:4" ht="16.5" x14ac:dyDescent="0.25">
      <c r="A3" s="315" t="s">
        <v>226</v>
      </c>
      <c r="B3" s="315"/>
      <c r="C3" s="3"/>
      <c r="D3" s="3"/>
    </row>
    <row r="4" spans="1:4" ht="15.75" x14ac:dyDescent="0.25">
      <c r="A4" s="4" t="s">
        <v>516</v>
      </c>
      <c r="B4" s="4"/>
      <c r="C4" s="3"/>
      <c r="D4" s="3"/>
    </row>
    <row r="5" spans="1:4" ht="15.75" x14ac:dyDescent="0.25">
      <c r="A5" s="4" t="s">
        <v>165</v>
      </c>
      <c r="B5" s="4"/>
      <c r="C5" s="3"/>
      <c r="D5" s="3"/>
    </row>
    <row r="6" spans="1:4" ht="22.5" customHeight="1" x14ac:dyDescent="0.25">
      <c r="A6" s="4"/>
      <c r="B6" s="8"/>
      <c r="C6" s="8"/>
      <c r="D6" s="3"/>
    </row>
    <row r="7" spans="1:4" ht="16.5" thickBot="1" x14ac:dyDescent="0.3">
      <c r="A7" s="9"/>
      <c r="B7" s="8"/>
      <c r="C7" s="8"/>
      <c r="D7" s="3"/>
    </row>
    <row r="8" spans="1:4" ht="15.75" customHeight="1" x14ac:dyDescent="0.2">
      <c r="A8" s="335" t="s">
        <v>227</v>
      </c>
      <c r="B8" s="337" t="s">
        <v>228</v>
      </c>
      <c r="C8" s="307" t="s">
        <v>229</v>
      </c>
      <c r="D8" s="307" t="s">
        <v>230</v>
      </c>
    </row>
    <row r="9" spans="1:4" ht="28.5" customHeight="1" thickBot="1" x14ac:dyDescent="0.25">
      <c r="A9" s="336"/>
      <c r="B9" s="338"/>
      <c r="C9" s="308"/>
      <c r="D9" s="308"/>
    </row>
    <row r="10" spans="1:4" s="212" customFormat="1" ht="16.5" thickBot="1" x14ac:dyDescent="0.3">
      <c r="A10" s="209" t="s">
        <v>231</v>
      </c>
      <c r="B10" s="302">
        <v>-1606073.37</v>
      </c>
      <c r="C10" s="211"/>
      <c r="D10" s="211"/>
    </row>
    <row r="11" spans="1:4" s="212" customFormat="1" ht="16.5" hidden="1" thickBot="1" x14ac:dyDescent="0.3">
      <c r="A11" s="213" t="s">
        <v>232</v>
      </c>
      <c r="B11" s="214"/>
      <c r="C11" s="215"/>
      <c r="D11" s="215"/>
    </row>
    <row r="12" spans="1:4" ht="15.75" x14ac:dyDescent="0.25">
      <c r="A12" s="216" t="s">
        <v>233</v>
      </c>
      <c r="B12" s="217"/>
      <c r="C12" s="17" t="s">
        <v>234</v>
      </c>
      <c r="D12" s="18" t="s">
        <v>234</v>
      </c>
    </row>
    <row r="13" spans="1:4" ht="15.75" hidden="1" x14ac:dyDescent="0.25">
      <c r="A13" s="182" t="s">
        <v>235</v>
      </c>
      <c r="B13" s="20">
        <v>2650.4</v>
      </c>
      <c r="C13" s="218" t="s">
        <v>234</v>
      </c>
      <c r="D13" s="22" t="s">
        <v>234</v>
      </c>
    </row>
    <row r="14" spans="1:4" ht="15.75" hidden="1" x14ac:dyDescent="0.25">
      <c r="A14" s="182" t="s">
        <v>236</v>
      </c>
      <c r="B14" s="20">
        <v>0</v>
      </c>
      <c r="C14" s="218"/>
      <c r="D14" s="22"/>
    </row>
    <row r="15" spans="1:4" ht="15.75" x14ac:dyDescent="0.25">
      <c r="A15" s="219" t="s">
        <v>237</v>
      </c>
      <c r="B15" s="23">
        <f>B13+B14</f>
        <v>2650.4</v>
      </c>
      <c r="C15" s="21"/>
      <c r="D15" s="22"/>
    </row>
    <row r="16" spans="1:4" ht="15.75" x14ac:dyDescent="0.25">
      <c r="A16" s="219" t="s">
        <v>238</v>
      </c>
      <c r="B16" s="23">
        <f>1216.1+2444.6/3</f>
        <v>2030.9666666666667</v>
      </c>
      <c r="C16" s="21" t="s">
        <v>234</v>
      </c>
      <c r="D16" s="22" t="s">
        <v>234</v>
      </c>
    </row>
    <row r="17" spans="1:7" ht="15.75" hidden="1" x14ac:dyDescent="0.25">
      <c r="A17" s="182" t="s">
        <v>239</v>
      </c>
      <c r="B17" s="20">
        <v>0</v>
      </c>
      <c r="C17" s="218" t="s">
        <v>234</v>
      </c>
      <c r="D17" s="22" t="s">
        <v>234</v>
      </c>
      <c r="E17" s="3"/>
      <c r="F17" s="3"/>
      <c r="G17" s="3"/>
    </row>
    <row r="18" spans="1:7" ht="15.75" hidden="1" x14ac:dyDescent="0.25">
      <c r="A18" s="182" t="s">
        <v>240</v>
      </c>
      <c r="B18" s="20">
        <v>680.6</v>
      </c>
      <c r="C18" s="218" t="s">
        <v>234</v>
      </c>
      <c r="D18" s="22" t="s">
        <v>234</v>
      </c>
      <c r="E18" s="3"/>
      <c r="F18" s="3"/>
      <c r="G18" s="3"/>
    </row>
    <row r="19" spans="1:7" ht="15.75" hidden="1" x14ac:dyDescent="0.25">
      <c r="A19" s="182" t="s">
        <v>241</v>
      </c>
      <c r="B19" s="20">
        <v>0</v>
      </c>
      <c r="C19" s="218" t="s">
        <v>234</v>
      </c>
      <c r="D19" s="22" t="s">
        <v>234</v>
      </c>
      <c r="E19" s="3"/>
      <c r="F19" s="3"/>
      <c r="G19" s="3"/>
    </row>
    <row r="20" spans="1:7" ht="15.75" hidden="1" x14ac:dyDescent="0.25">
      <c r="A20" s="182" t="s">
        <v>242</v>
      </c>
      <c r="B20" s="20">
        <v>749</v>
      </c>
      <c r="C20" s="218"/>
      <c r="D20" s="22"/>
      <c r="E20" s="3"/>
      <c r="F20" s="3"/>
      <c r="G20" s="3"/>
    </row>
    <row r="21" spans="1:7" ht="15.75" hidden="1" x14ac:dyDescent="0.25">
      <c r="A21" s="182" t="s">
        <v>243</v>
      </c>
      <c r="B21" s="20">
        <v>0</v>
      </c>
      <c r="C21" s="218" t="s">
        <v>234</v>
      </c>
      <c r="D21" s="22" t="s">
        <v>234</v>
      </c>
      <c r="E21" s="3"/>
      <c r="F21" s="3"/>
      <c r="G21" s="3"/>
    </row>
    <row r="22" spans="1:7" ht="15.75" hidden="1" x14ac:dyDescent="0.25">
      <c r="A22" s="182" t="s">
        <v>244</v>
      </c>
      <c r="B22" s="20">
        <v>158</v>
      </c>
      <c r="C22" s="218"/>
      <c r="D22" s="22"/>
      <c r="E22" s="3"/>
      <c r="F22" s="3"/>
      <c r="G22" s="3"/>
    </row>
    <row r="23" spans="1:7" ht="15.75" x14ac:dyDescent="0.25">
      <c r="A23" s="219"/>
      <c r="B23" s="23"/>
      <c r="C23" s="21"/>
      <c r="D23" s="22"/>
      <c r="E23" s="3"/>
      <c r="F23" s="3"/>
      <c r="G23" s="3"/>
    </row>
    <row r="24" spans="1:7" ht="15.75" x14ac:dyDescent="0.25">
      <c r="A24" s="220" t="s">
        <v>319</v>
      </c>
      <c r="B24" s="28">
        <f>VLOOKUP(A5,'[5]Лист  1'!M$1:N$65536,2,FALSE)</f>
        <v>390348.06999999995</v>
      </c>
      <c r="C24" s="21"/>
      <c r="D24" s="22"/>
      <c r="E24" s="3">
        <v>10.860000000000001</v>
      </c>
      <c r="F24" s="3"/>
      <c r="G24" s="3"/>
    </row>
    <row r="25" spans="1:7" ht="15.75" x14ac:dyDescent="0.25">
      <c r="A25" s="220" t="s">
        <v>320</v>
      </c>
      <c r="B25" s="28">
        <f>VLOOKUP(A5,'[5]Лист  1'!M$1:O$65536,3,FALSE)</f>
        <v>332820.7</v>
      </c>
      <c r="C25" s="21"/>
      <c r="D25" s="22"/>
      <c r="E25" s="3"/>
      <c r="F25" s="3"/>
      <c r="G25" s="3"/>
    </row>
    <row r="26" spans="1:7" ht="15.75" hidden="1" x14ac:dyDescent="0.25">
      <c r="A26" s="220" t="s">
        <v>321</v>
      </c>
      <c r="B26" s="28"/>
      <c r="C26" s="21"/>
      <c r="D26" s="22"/>
      <c r="E26" s="3"/>
      <c r="F26" s="3"/>
      <c r="G26" s="3"/>
    </row>
    <row r="27" spans="1:7" ht="15.75" hidden="1" x14ac:dyDescent="0.25">
      <c r="A27" s="220" t="s">
        <v>248</v>
      </c>
      <c r="B27" s="28">
        <f>B26</f>
        <v>0</v>
      </c>
      <c r="C27" s="21"/>
      <c r="D27" s="22"/>
      <c r="E27" s="3"/>
      <c r="F27" s="3"/>
      <c r="G27" s="3"/>
    </row>
    <row r="28" spans="1:7" ht="15.75" x14ac:dyDescent="0.25">
      <c r="A28" s="220" t="s">
        <v>399</v>
      </c>
      <c r="B28" s="28">
        <v>7611.96</v>
      </c>
      <c r="C28" s="21"/>
      <c r="D28" s="22"/>
      <c r="E28" s="3"/>
      <c r="F28" s="3"/>
      <c r="G28" s="3"/>
    </row>
    <row r="29" spans="1:7" ht="15.75" hidden="1" x14ac:dyDescent="0.25">
      <c r="A29" s="220" t="s">
        <v>250</v>
      </c>
      <c r="B29" s="23"/>
      <c r="C29" s="21"/>
      <c r="D29" s="22"/>
      <c r="E29" s="3"/>
      <c r="F29" s="3"/>
      <c r="G29" s="3"/>
    </row>
    <row r="30" spans="1:7" ht="15.75" x14ac:dyDescent="0.25">
      <c r="A30" s="221"/>
      <c r="B30" s="23"/>
      <c r="C30" s="21"/>
      <c r="D30" s="22"/>
      <c r="E30" s="3"/>
      <c r="F30" s="3"/>
      <c r="G30" s="3"/>
    </row>
    <row r="31" spans="1:7" ht="14.25" customHeight="1" x14ac:dyDescent="0.25">
      <c r="A31" s="222" t="s">
        <v>251</v>
      </c>
      <c r="B31" s="23"/>
      <c r="C31" s="21"/>
      <c r="D31" s="22"/>
      <c r="E31" s="3"/>
      <c r="F31" s="3"/>
      <c r="G31" s="3"/>
    </row>
    <row r="32" spans="1:7" s="34" customFormat="1" ht="31.5" x14ac:dyDescent="0.25">
      <c r="A32" s="223" t="s">
        <v>252</v>
      </c>
      <c r="B32" s="208">
        <f>SUM(B33:B41)</f>
        <v>75720.930000000008</v>
      </c>
      <c r="C32" s="21"/>
      <c r="D32" s="22"/>
      <c r="E32" s="33">
        <f>(B86-B24-B26)/1.2/1.03</f>
        <v>185484.20445535521</v>
      </c>
      <c r="F32" s="33" t="e">
        <f>(#REF!-#REF!-#REF!)/1.2/1.03</f>
        <v>#REF!</v>
      </c>
      <c r="G32" s="33" t="e">
        <f>(#REF!-#REF!-#REF!)/1.2/1.03</f>
        <v>#REF!</v>
      </c>
    </row>
    <row r="33" spans="1:7" ht="15.75" x14ac:dyDescent="0.25">
      <c r="A33" s="224" t="s">
        <v>253</v>
      </c>
      <c r="B33" s="23">
        <v>52543</v>
      </c>
      <c r="C33" s="21"/>
      <c r="D33" s="22">
        <v>0</v>
      </c>
      <c r="E33" s="3"/>
      <c r="F33" s="3"/>
      <c r="G33" s="3"/>
    </row>
    <row r="34" spans="1:7" ht="15.75" x14ac:dyDescent="0.25">
      <c r="A34" s="225" t="s">
        <v>322</v>
      </c>
      <c r="B34" s="20">
        <v>17447.66</v>
      </c>
      <c r="C34" s="218"/>
      <c r="D34" s="22">
        <v>0</v>
      </c>
      <c r="E34" s="3"/>
      <c r="F34" s="3"/>
      <c r="G34" s="3"/>
    </row>
    <row r="35" spans="1:7" ht="15.75" hidden="1" x14ac:dyDescent="0.25">
      <c r="A35" s="224" t="s">
        <v>256</v>
      </c>
      <c r="B35" s="23"/>
      <c r="C35" s="21"/>
      <c r="D35" s="22">
        <v>0</v>
      </c>
      <c r="E35" s="3"/>
      <c r="F35" s="3"/>
      <c r="G35" s="3"/>
    </row>
    <row r="36" spans="1:7" ht="15.75" x14ac:dyDescent="0.25">
      <c r="A36" s="224" t="s">
        <v>255</v>
      </c>
      <c r="B36" s="23">
        <v>5730.27</v>
      </c>
      <c r="C36" s="21" t="s">
        <v>234</v>
      </c>
      <c r="D36" s="22">
        <v>0</v>
      </c>
      <c r="E36" s="3"/>
      <c r="F36" s="3"/>
      <c r="G36" s="3"/>
    </row>
    <row r="37" spans="1:7" ht="15.75" hidden="1" x14ac:dyDescent="0.25">
      <c r="A37" s="224" t="s">
        <v>257</v>
      </c>
      <c r="B37" s="23">
        <v>0</v>
      </c>
      <c r="C37" s="21"/>
      <c r="D37" s="22">
        <v>0</v>
      </c>
      <c r="E37" s="3"/>
      <c r="F37" s="3"/>
      <c r="G37" s="3"/>
    </row>
    <row r="38" spans="1:7" ht="15.75" hidden="1" x14ac:dyDescent="0.25">
      <c r="A38" s="224" t="s">
        <v>255</v>
      </c>
      <c r="B38" s="23"/>
      <c r="C38" s="21"/>
      <c r="D38" s="22">
        <v>0</v>
      </c>
      <c r="E38" s="3"/>
      <c r="F38" s="3"/>
      <c r="G38" s="3"/>
    </row>
    <row r="39" spans="1:7" ht="15.75" hidden="1" x14ac:dyDescent="0.25">
      <c r="A39" s="35" t="s">
        <v>256</v>
      </c>
      <c r="B39" s="20"/>
      <c r="C39" s="21"/>
      <c r="D39" s="22">
        <v>0</v>
      </c>
      <c r="E39" s="3"/>
      <c r="F39" s="3"/>
      <c r="G39" s="3"/>
    </row>
    <row r="40" spans="1:7" ht="15.75" hidden="1" x14ac:dyDescent="0.25">
      <c r="A40" s="35" t="s">
        <v>257</v>
      </c>
      <c r="B40" s="20">
        <v>0</v>
      </c>
      <c r="C40" s="21"/>
      <c r="D40" s="22"/>
      <c r="E40" s="3"/>
      <c r="F40" s="3"/>
      <c r="G40" s="3"/>
    </row>
    <row r="41" spans="1:7" ht="15.75" hidden="1" x14ac:dyDescent="0.25">
      <c r="A41" s="35" t="s">
        <v>400</v>
      </c>
      <c r="B41" s="23"/>
      <c r="C41" s="21"/>
      <c r="D41" s="22"/>
      <c r="E41" s="3"/>
      <c r="F41" s="3"/>
      <c r="G41" s="3"/>
    </row>
    <row r="42" spans="1:7" s="34" customFormat="1" ht="47.25" x14ac:dyDescent="0.25">
      <c r="A42" s="223" t="s">
        <v>401</v>
      </c>
      <c r="B42" s="208">
        <f>SUM(B43:B45)</f>
        <v>23121.352221537789</v>
      </c>
      <c r="C42" s="21"/>
      <c r="D42" s="22"/>
      <c r="E42" s="33"/>
      <c r="F42" s="33"/>
      <c r="G42" s="33"/>
    </row>
    <row r="43" spans="1:7" ht="15.75" x14ac:dyDescent="0.25">
      <c r="A43" s="35" t="s">
        <v>262</v>
      </c>
      <c r="B43" s="23">
        <v>7828.67</v>
      </c>
      <c r="C43" s="39"/>
      <c r="D43" s="40"/>
      <c r="E43" s="3"/>
      <c r="F43" s="3"/>
      <c r="G43" s="3"/>
    </row>
    <row r="44" spans="1:7" ht="15.75" x14ac:dyDescent="0.25">
      <c r="A44" s="35" t="s">
        <v>263</v>
      </c>
      <c r="B44" s="23">
        <v>844</v>
      </c>
      <c r="C44" s="39"/>
      <c r="D44" s="40"/>
      <c r="E44" s="3"/>
      <c r="F44" s="3"/>
      <c r="G44" s="3"/>
    </row>
    <row r="45" spans="1:7" ht="15.75" x14ac:dyDescent="0.25">
      <c r="A45" s="226" t="s">
        <v>264</v>
      </c>
      <c r="B45" s="23">
        <f>'[6]32тарифы'!D163*B15+345.79*1.1194</f>
        <v>14448.682221537791</v>
      </c>
      <c r="C45" s="39"/>
      <c r="D45" s="40"/>
      <c r="E45" s="3"/>
      <c r="F45" s="3"/>
      <c r="G45" s="3"/>
    </row>
    <row r="46" spans="1:7" s="8" customFormat="1" ht="15.75" x14ac:dyDescent="0.25">
      <c r="A46" s="223" t="s">
        <v>265</v>
      </c>
      <c r="B46" s="208">
        <f>SUM(B47:B65)</f>
        <v>37878.230000000003</v>
      </c>
      <c r="C46" s="21"/>
      <c r="D46" s="22"/>
    </row>
    <row r="47" spans="1:7" ht="15.75" x14ac:dyDescent="0.25">
      <c r="A47" s="224" t="s">
        <v>326</v>
      </c>
      <c r="B47" s="23">
        <v>2647.68</v>
      </c>
      <c r="C47" s="21"/>
      <c r="D47" s="22"/>
      <c r="E47" s="3" t="s">
        <v>267</v>
      </c>
      <c r="F47" s="3"/>
      <c r="G47" s="3"/>
    </row>
    <row r="48" spans="1:7" ht="15.75" x14ac:dyDescent="0.25">
      <c r="A48" s="224" t="s">
        <v>317</v>
      </c>
      <c r="B48" s="23">
        <v>3214.98</v>
      </c>
      <c r="C48" s="21"/>
      <c r="D48" s="22"/>
      <c r="E48" s="3" t="s">
        <v>269</v>
      </c>
      <c r="F48" s="3"/>
      <c r="G48" s="3"/>
    </row>
    <row r="49" spans="1:5" ht="15.75" hidden="1" x14ac:dyDescent="0.25">
      <c r="A49" s="143" t="s">
        <v>270</v>
      </c>
      <c r="B49" s="23">
        <v>0</v>
      </c>
      <c r="C49" s="21"/>
      <c r="D49" s="22"/>
      <c r="E49" s="3"/>
    </row>
    <row r="50" spans="1:5" ht="15.75" hidden="1" x14ac:dyDescent="0.25">
      <c r="A50" s="143" t="s">
        <v>271</v>
      </c>
      <c r="B50" s="105">
        <v>0</v>
      </c>
      <c r="C50" s="21"/>
      <c r="D50" s="22"/>
      <c r="E50" s="3"/>
    </row>
    <row r="51" spans="1:5" ht="15.75" x14ac:dyDescent="0.25">
      <c r="A51" s="143" t="s">
        <v>402</v>
      </c>
      <c r="B51" s="23">
        <v>81.83</v>
      </c>
      <c r="C51" s="21"/>
      <c r="D51" s="22"/>
      <c r="E51" s="3"/>
    </row>
    <row r="52" spans="1:5" ht="15.75" hidden="1" x14ac:dyDescent="0.25">
      <c r="A52" s="143" t="s">
        <v>273</v>
      </c>
      <c r="B52" s="23">
        <f>B21*'[6]32тарифы'!D177</f>
        <v>0</v>
      </c>
      <c r="C52" s="21"/>
      <c r="D52" s="22">
        <v>105.14</v>
      </c>
      <c r="E52" s="3"/>
    </row>
    <row r="53" spans="1:5" ht="15.75" hidden="1" x14ac:dyDescent="0.25">
      <c r="A53" s="143" t="s">
        <v>274</v>
      </c>
      <c r="B53" s="105">
        <v>0</v>
      </c>
      <c r="C53" s="21">
        <v>0</v>
      </c>
      <c r="D53" s="22">
        <v>522.99</v>
      </c>
      <c r="E53" s="227">
        <f>B80+B46-B59+2145.46</f>
        <v>52943.54</v>
      </c>
    </row>
    <row r="54" spans="1:5" ht="15.75" hidden="1" x14ac:dyDescent="0.25">
      <c r="A54" s="42" t="s">
        <v>275</v>
      </c>
      <c r="B54" s="105">
        <v>0</v>
      </c>
      <c r="C54" s="21">
        <v>0</v>
      </c>
      <c r="D54" s="44">
        <v>695.13</v>
      </c>
      <c r="E54" s="3"/>
    </row>
    <row r="55" spans="1:5" ht="15.75" hidden="1" x14ac:dyDescent="0.25">
      <c r="A55" s="143" t="s">
        <v>276</v>
      </c>
      <c r="B55" s="23">
        <v>0</v>
      </c>
      <c r="C55" s="21"/>
      <c r="D55" s="44"/>
      <c r="E55" s="3"/>
    </row>
    <row r="56" spans="1:5" ht="15.75" hidden="1" x14ac:dyDescent="0.25">
      <c r="A56" s="143" t="s">
        <v>277</v>
      </c>
      <c r="B56" s="23">
        <v>0</v>
      </c>
      <c r="C56" s="21">
        <v>0</v>
      </c>
      <c r="D56" s="22">
        <f>10695.76/1.18</f>
        <v>9064.203389830509</v>
      </c>
      <c r="E56" s="3"/>
    </row>
    <row r="57" spans="1:5" ht="15.75" x14ac:dyDescent="0.25">
      <c r="A57" s="143" t="s">
        <v>540</v>
      </c>
      <c r="B57" s="23">
        <v>11675.34</v>
      </c>
      <c r="C57" s="21">
        <v>0</v>
      </c>
      <c r="D57" s="22">
        <f>2300/1.18</f>
        <v>1949.1525423728815</v>
      </c>
      <c r="E57" s="3"/>
    </row>
    <row r="58" spans="1:5" ht="15.75" hidden="1" x14ac:dyDescent="0.25">
      <c r="A58" s="143" t="s">
        <v>315</v>
      </c>
      <c r="B58" s="105">
        <v>0</v>
      </c>
      <c r="C58" s="21">
        <v>0</v>
      </c>
      <c r="D58" s="22">
        <v>0</v>
      </c>
      <c r="E58" s="3"/>
    </row>
    <row r="59" spans="1:5" ht="15.75" hidden="1" x14ac:dyDescent="0.25">
      <c r="A59" s="228" t="s">
        <v>279</v>
      </c>
      <c r="B59" s="20">
        <f>B13*'[6]32тарифы'!D184</f>
        <v>0</v>
      </c>
      <c r="C59" s="21"/>
      <c r="D59" s="22"/>
      <c r="E59" s="3"/>
    </row>
    <row r="60" spans="1:5" ht="15.75" hidden="1" x14ac:dyDescent="0.25">
      <c r="A60" s="35" t="s">
        <v>280</v>
      </c>
      <c r="B60" s="105">
        <v>0</v>
      </c>
      <c r="C60" s="21"/>
      <c r="D60" s="22"/>
      <c r="E60" s="3"/>
    </row>
    <row r="61" spans="1:5" ht="15.75" hidden="1" x14ac:dyDescent="0.25">
      <c r="A61" s="35" t="s">
        <v>404</v>
      </c>
      <c r="B61" s="105">
        <v>0</v>
      </c>
      <c r="C61" s="21"/>
      <c r="D61" s="22">
        <v>0</v>
      </c>
      <c r="E61" s="3"/>
    </row>
    <row r="62" spans="1:5" ht="15.75" hidden="1" x14ac:dyDescent="0.25">
      <c r="A62" s="224" t="s">
        <v>340</v>
      </c>
      <c r="B62" s="105">
        <v>0</v>
      </c>
      <c r="C62" s="21"/>
      <c r="D62" s="22">
        <v>0</v>
      </c>
      <c r="E62" s="3"/>
    </row>
    <row r="63" spans="1:5" ht="15.75" x14ac:dyDescent="0.25">
      <c r="A63" s="224" t="s">
        <v>405</v>
      </c>
      <c r="B63" s="229">
        <v>20258.400000000001</v>
      </c>
      <c r="C63" s="46">
        <v>1</v>
      </c>
      <c r="D63" s="22">
        <v>0</v>
      </c>
      <c r="E63" s="3"/>
    </row>
    <row r="64" spans="1:5" ht="15.75" hidden="1" x14ac:dyDescent="0.25">
      <c r="A64" s="35" t="s">
        <v>284</v>
      </c>
      <c r="B64" s="229">
        <v>0</v>
      </c>
      <c r="C64" s="46">
        <v>60</v>
      </c>
      <c r="D64" s="22">
        <v>2</v>
      </c>
      <c r="E64" s="3">
        <v>1</v>
      </c>
    </row>
    <row r="65" spans="1:5" ht="15.75" hidden="1" x14ac:dyDescent="0.25">
      <c r="A65" s="35" t="s">
        <v>285</v>
      </c>
      <c r="B65" s="229">
        <v>0</v>
      </c>
      <c r="C65" s="48"/>
      <c r="D65" s="40">
        <v>0</v>
      </c>
      <c r="E65" s="3"/>
    </row>
    <row r="66" spans="1:5" s="8" customFormat="1" ht="15.75" x14ac:dyDescent="0.25">
      <c r="A66" s="230" t="s">
        <v>286</v>
      </c>
      <c r="B66" s="208">
        <f>SUM(B67:B74)</f>
        <v>191752.17841415358</v>
      </c>
      <c r="C66" s="39"/>
      <c r="D66" s="40"/>
    </row>
    <row r="67" spans="1:5" ht="15.75" hidden="1" x14ac:dyDescent="0.25">
      <c r="A67" s="187" t="s">
        <v>287</v>
      </c>
      <c r="B67" s="20">
        <v>0</v>
      </c>
      <c r="C67" s="231"/>
      <c r="D67" s="40"/>
      <c r="E67" s="3"/>
    </row>
    <row r="68" spans="1:5" ht="15.75" x14ac:dyDescent="0.25">
      <c r="A68" s="224" t="s">
        <v>288</v>
      </c>
      <c r="B68" s="232">
        <f>(1.04*76902.74*1.1194)</f>
        <v>89528.324242239993</v>
      </c>
      <c r="C68" s="39"/>
      <c r="D68" s="40"/>
      <c r="E68" s="3"/>
    </row>
    <row r="69" spans="1:5" ht="15.75" hidden="1" x14ac:dyDescent="0.25">
      <c r="A69" s="187" t="s">
        <v>289</v>
      </c>
      <c r="B69" s="20">
        <v>0</v>
      </c>
      <c r="C69" s="231"/>
      <c r="D69" s="40"/>
      <c r="E69" s="3" t="s">
        <v>406</v>
      </c>
    </row>
    <row r="70" spans="1:5" ht="15.75" x14ac:dyDescent="0.25">
      <c r="A70" s="226" t="s">
        <v>290</v>
      </c>
      <c r="B70" s="23">
        <f>'[6]32тарифы'!D164*B13*1.1194</f>
        <v>3270.8779756365489</v>
      </c>
      <c r="C70" s="39"/>
      <c r="D70" s="40"/>
      <c r="E70" s="3"/>
    </row>
    <row r="71" spans="1:5" ht="15.75" x14ac:dyDescent="0.25">
      <c r="A71" s="226" t="s">
        <v>291</v>
      </c>
      <c r="B71" s="23">
        <f>'[6]32тарифы'!D165*B15*1.1194</f>
        <v>16940.422368493728</v>
      </c>
      <c r="C71" s="39"/>
      <c r="D71" s="40"/>
      <c r="E71" s="3"/>
    </row>
    <row r="72" spans="1:5" ht="15.75" x14ac:dyDescent="0.25">
      <c r="A72" s="226" t="s">
        <v>292</v>
      </c>
      <c r="B72" s="23">
        <f>1.04*27069.6554392078*1.1194</f>
        <v>31513.843190595177</v>
      </c>
      <c r="C72" s="39"/>
      <c r="D72" s="40"/>
      <c r="E72" s="3"/>
    </row>
    <row r="73" spans="1:5" ht="15.75" x14ac:dyDescent="0.25">
      <c r="A73" s="226" t="s">
        <v>293</v>
      </c>
      <c r="B73" s="23">
        <f>1.04*4593.24407743612*1.1194</f>
        <v>5347.3445170932728</v>
      </c>
      <c r="C73" s="39"/>
      <c r="D73" s="40"/>
      <c r="E73" s="3"/>
    </row>
    <row r="74" spans="1:5" ht="15.75" x14ac:dyDescent="0.25">
      <c r="A74" s="226" t="s">
        <v>294</v>
      </c>
      <c r="B74" s="23">
        <f>1.04*38783.9691937429*1.1194</f>
        <v>45151.366120094841</v>
      </c>
      <c r="C74" s="39"/>
      <c r="D74" s="40"/>
      <c r="E74" s="3"/>
    </row>
    <row r="75" spans="1:5" ht="63" x14ac:dyDescent="0.25">
      <c r="A75" s="233" t="s">
        <v>295</v>
      </c>
      <c r="B75" s="208">
        <f>SUM(B76:B76)</f>
        <v>90150.879000000001</v>
      </c>
      <c r="C75" s="39"/>
      <c r="D75" s="40"/>
      <c r="E75" s="3"/>
    </row>
    <row r="76" spans="1:5" ht="15.75" x14ac:dyDescent="0.25">
      <c r="A76" s="226" t="s">
        <v>296</v>
      </c>
      <c r="B76" s="23">
        <f>80535*1.1194</f>
        <v>90150.879000000001</v>
      </c>
      <c r="C76" s="39"/>
      <c r="D76" s="40"/>
      <c r="E76" s="3"/>
    </row>
    <row r="77" spans="1:5" s="8" customFormat="1" ht="15.75" x14ac:dyDescent="0.25">
      <c r="A77" s="230" t="s">
        <v>297</v>
      </c>
      <c r="B77" s="208">
        <f>SUM(B78:B81)</f>
        <v>82676.225434550463</v>
      </c>
      <c r="C77" s="39"/>
      <c r="D77" s="40"/>
    </row>
    <row r="78" spans="1:5" ht="15.75" x14ac:dyDescent="0.25">
      <c r="A78" s="234" t="s">
        <v>298</v>
      </c>
      <c r="B78" s="23">
        <f>'[6]32тарифы'!D170*B15*1.1194</f>
        <v>63930.266215602511</v>
      </c>
      <c r="C78" s="39"/>
      <c r="D78" s="40"/>
      <c r="E78" s="3"/>
    </row>
    <row r="79" spans="1:5" ht="15.75" hidden="1" x14ac:dyDescent="0.25">
      <c r="A79" s="234" t="s">
        <v>299</v>
      </c>
      <c r="B79" s="232">
        <f>(B26/1.2)*30%</f>
        <v>0</v>
      </c>
      <c r="C79" s="39"/>
      <c r="D79" s="40"/>
      <c r="E79" s="3"/>
    </row>
    <row r="80" spans="1:5" ht="15.75" x14ac:dyDescent="0.25">
      <c r="A80" s="235" t="s">
        <v>300</v>
      </c>
      <c r="B80" s="23">
        <f>7524.72+5395.13</f>
        <v>12919.85</v>
      </c>
      <c r="C80" s="39"/>
      <c r="D80" s="40"/>
      <c r="E80" s="3"/>
    </row>
    <row r="81" spans="1:4" ht="15.75" x14ac:dyDescent="0.25">
      <c r="A81" s="235" t="s">
        <v>301</v>
      </c>
      <c r="B81" s="23">
        <f>'[6]32тарифы'!D173*B13*1.12</f>
        <v>5826.1092189479577</v>
      </c>
      <c r="C81" s="39"/>
      <c r="D81" s="40"/>
    </row>
    <row r="82" spans="1:4" ht="15.75" x14ac:dyDescent="0.25">
      <c r="A82" s="236" t="s">
        <v>302</v>
      </c>
      <c r="B82" s="28">
        <f>B32+B42+B46+B66+B75+B77</f>
        <v>501299.7950702419</v>
      </c>
      <c r="C82" s="39"/>
      <c r="D82" s="40"/>
    </row>
    <row r="83" spans="1:4" ht="15.75" x14ac:dyDescent="0.25">
      <c r="A83" s="237" t="s">
        <v>303</v>
      </c>
      <c r="B83" s="23">
        <f>B82*0.03</f>
        <v>15038.993852107256</v>
      </c>
      <c r="C83" s="39"/>
      <c r="D83" s="40"/>
    </row>
    <row r="84" spans="1:4" s="34" customFormat="1" ht="15.75" x14ac:dyDescent="0.25">
      <c r="A84" s="238" t="s">
        <v>304</v>
      </c>
      <c r="B84" s="208">
        <f>B82+B83</f>
        <v>516338.78892234917</v>
      </c>
      <c r="C84" s="39"/>
      <c r="D84" s="40"/>
    </row>
    <row r="85" spans="1:4" ht="16.5" thickBot="1" x14ac:dyDescent="0.3">
      <c r="A85" s="239" t="s">
        <v>305</v>
      </c>
      <c r="B85" s="240">
        <f>B84*0.2</f>
        <v>103267.75778446984</v>
      </c>
      <c r="C85" s="39"/>
      <c r="D85" s="40"/>
    </row>
    <row r="86" spans="1:4" s="8" customFormat="1" ht="16.5" thickBot="1" x14ac:dyDescent="0.3">
      <c r="A86" s="58" t="s">
        <v>306</v>
      </c>
      <c r="B86" s="66">
        <f>B84+B85</f>
        <v>619606.54670681898</v>
      </c>
      <c r="C86" s="60"/>
      <c r="D86" s="61"/>
    </row>
    <row r="87" spans="1:4" s="8" customFormat="1" ht="16.5" thickBot="1" x14ac:dyDescent="0.3">
      <c r="A87" s="62" t="s">
        <v>307</v>
      </c>
      <c r="B87" s="296">
        <f>B10+B24+B26+B28+B29-B86</f>
        <v>-1827719.8867068193</v>
      </c>
      <c r="C87" s="63"/>
      <c r="D87" s="63"/>
    </row>
    <row r="88" spans="1:4" s="8" customFormat="1" ht="16.5" thickBot="1" x14ac:dyDescent="0.3">
      <c r="A88" s="64" t="s">
        <v>308</v>
      </c>
      <c r="B88" s="66">
        <f>B10+B25+B27+B28+B29-B86</f>
        <v>-1885247.2567068192</v>
      </c>
      <c r="C88" s="63"/>
      <c r="D88" s="63"/>
    </row>
    <row r="89" spans="1:4" s="8" customFormat="1" ht="16.5" hidden="1" thickBot="1" x14ac:dyDescent="0.3">
      <c r="A89" s="241" t="s">
        <v>309</v>
      </c>
      <c r="B89" s="66">
        <f>B11+B24-B25</f>
        <v>57527.369999999937</v>
      </c>
      <c r="C89" s="63"/>
      <c r="D89" s="63"/>
    </row>
    <row r="90" spans="1:4" s="8" customFormat="1" ht="15.75" x14ac:dyDescent="0.25">
      <c r="A90" s="67"/>
      <c r="B90" s="242"/>
      <c r="C90" s="63"/>
      <c r="D90" s="63"/>
    </row>
    <row r="91" spans="1:4" ht="15.75" customHeight="1" x14ac:dyDescent="0.25">
      <c r="A91" s="349"/>
      <c r="B91" s="349"/>
      <c r="C91" s="3"/>
      <c r="D91" s="3"/>
    </row>
    <row r="92" spans="1:4" ht="15.75" x14ac:dyDescent="0.25">
      <c r="A92" s="333" t="s">
        <v>407</v>
      </c>
      <c r="B92" s="333"/>
      <c r="C92" s="3"/>
      <c r="D92" s="3"/>
    </row>
    <row r="93" spans="1:4" ht="15.75" x14ac:dyDescent="0.25">
      <c r="A93" s="69"/>
      <c r="B93" s="3"/>
      <c r="C93" s="3"/>
      <c r="D93" s="3"/>
    </row>
    <row r="94" spans="1:4" ht="15.75" hidden="1" x14ac:dyDescent="0.25">
      <c r="A94" s="333" t="s">
        <v>408</v>
      </c>
      <c r="B94" s="333"/>
      <c r="C94" s="3"/>
      <c r="D94" s="3"/>
    </row>
    <row r="95" spans="1:4" ht="15.75" x14ac:dyDescent="0.25">
      <c r="A95" s="72"/>
      <c r="B95" s="72"/>
      <c r="C95" s="72"/>
      <c r="D95" s="3"/>
    </row>
    <row r="96" spans="1:4" ht="15.75" x14ac:dyDescent="0.25">
      <c r="A96" s="3"/>
      <c r="B96" s="3"/>
      <c r="C96" s="3"/>
      <c r="D96" s="3"/>
    </row>
  </sheetData>
  <autoFilter ref="A31:G89" xr:uid="{00000000-0009-0000-0000-000049000000}">
    <filterColumn colId="1">
      <filters>
        <filter val="11 813,51"/>
        <filter val="12 348,02"/>
        <filter val="141 846,64"/>
        <filter val="15 895,19"/>
        <filter val="157 837,62"/>
        <filter val="2 635,92"/>
        <filter val="2 760,72"/>
        <filter val="2 964,87"/>
        <filter val="20 657,28"/>
        <filter val="203 260,08"/>
        <filter val="26 396,06"/>
        <filter val="3 572,89"/>
        <filter val="32 536,97"/>
        <filter val="320 295,18"/>
        <filter val="34 554,47"/>
        <filter val="36 689,45"/>
        <filter val="4 487,46"/>
        <filter val="4 828,27"/>
        <filter val="42 932,80"/>
        <filter val="44 939,11"/>
        <filter val="47 502,65"/>
        <filter val="6 799,70"/>
        <filter val="62 458,28"/>
        <filter val="67 945,21"/>
        <filter val="688 575,91"/>
        <filter val="69 335,27"/>
        <filter val="7 240,31"/>
        <filter val="709 233,19"/>
        <filter val="714,65"/>
        <filter val="76 902,74"/>
        <filter val="8 697,18"/>
        <filter val="851 079,83"/>
        <filter val="862,02"/>
        <filter val="-963 709,88"/>
        <filter val="-976 139,88"/>
      </filters>
    </filterColumn>
  </autoFilter>
  <mergeCells count="10">
    <mergeCell ref="D8:D9"/>
    <mergeCell ref="A91:B91"/>
    <mergeCell ref="A92:B92"/>
    <mergeCell ref="A94:B94"/>
    <mergeCell ref="C8:C9"/>
    <mergeCell ref="A1:B1"/>
    <mergeCell ref="A2:B2"/>
    <mergeCell ref="A3:B3"/>
    <mergeCell ref="A8:A9"/>
    <mergeCell ref="B8:B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79"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 filterMode="1">
    <pageSetUpPr fitToPage="1"/>
  </sheetPr>
  <dimension ref="A1:G95"/>
  <sheetViews>
    <sheetView view="pageBreakPreview" topLeftCell="A36" zoomScale="80" zoomScaleNormal="100" zoomScaleSheetLayoutView="80" workbookViewId="0">
      <selection activeCell="B81" sqref="B81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25" t="s">
        <v>224</v>
      </c>
      <c r="B1" s="325"/>
      <c r="C1" s="77"/>
      <c r="D1" s="77"/>
    </row>
    <row r="2" spans="1:4" ht="16.5" x14ac:dyDescent="0.25">
      <c r="A2" s="326" t="s">
        <v>225</v>
      </c>
      <c r="B2" s="326"/>
      <c r="C2" s="77"/>
      <c r="D2" s="77"/>
    </row>
    <row r="3" spans="1:4" ht="16.5" x14ac:dyDescent="0.25">
      <c r="A3" s="326" t="s">
        <v>226</v>
      </c>
      <c r="B3" s="326"/>
      <c r="C3" s="77"/>
      <c r="D3" s="77"/>
    </row>
    <row r="4" spans="1:4" ht="15.75" x14ac:dyDescent="0.25">
      <c r="A4" s="78" t="s">
        <v>516</v>
      </c>
      <c r="B4" s="78"/>
      <c r="C4" s="77"/>
      <c r="D4" s="77"/>
    </row>
    <row r="5" spans="1:4" ht="15.75" x14ac:dyDescent="0.25">
      <c r="A5" s="78" t="s">
        <v>167</v>
      </c>
      <c r="B5" s="78"/>
      <c r="C5" s="77"/>
      <c r="D5" s="77"/>
    </row>
    <row r="6" spans="1:4" ht="5.25" customHeight="1" x14ac:dyDescent="0.25">
      <c r="A6" s="78"/>
      <c r="B6" s="8"/>
      <c r="C6" s="79"/>
      <c r="D6" s="77"/>
    </row>
    <row r="7" spans="1:4" ht="16.5" thickBot="1" x14ac:dyDescent="0.3">
      <c r="A7" s="80"/>
      <c r="B7" s="8"/>
      <c r="C7" s="79"/>
      <c r="D7" s="77"/>
    </row>
    <row r="8" spans="1:4" ht="15.75" customHeight="1" x14ac:dyDescent="0.2">
      <c r="A8" s="327" t="s">
        <v>227</v>
      </c>
      <c r="B8" s="329" t="s">
        <v>228</v>
      </c>
      <c r="C8" s="331" t="s">
        <v>229</v>
      </c>
      <c r="D8" s="321" t="s">
        <v>230</v>
      </c>
    </row>
    <row r="9" spans="1:4" ht="28.5" customHeight="1" thickBot="1" x14ac:dyDescent="0.25">
      <c r="A9" s="328"/>
      <c r="B9" s="330"/>
      <c r="C9" s="332"/>
      <c r="D9" s="322"/>
    </row>
    <row r="10" spans="1:4" ht="16.5" thickBot="1" x14ac:dyDescent="0.25">
      <c r="A10" s="81" t="s">
        <v>231</v>
      </c>
      <c r="B10" s="302">
        <f>VLOOKUP(A5,мкд!S:T,2,FALSE)</f>
        <v>386674</v>
      </c>
      <c r="C10" s="83"/>
      <c r="D10" s="84"/>
    </row>
    <row r="11" spans="1:4" ht="16.5" hidden="1" thickBot="1" x14ac:dyDescent="0.25">
      <c r="A11" s="85" t="s">
        <v>232</v>
      </c>
      <c r="B11" s="210"/>
      <c r="C11" s="84"/>
      <c r="D11" s="86"/>
    </row>
    <row r="12" spans="1:4" ht="16.5" thickBot="1" x14ac:dyDescent="0.3">
      <c r="A12" s="87" t="s">
        <v>233</v>
      </c>
      <c r="B12" s="217"/>
      <c r="C12" s="89" t="s">
        <v>234</v>
      </c>
      <c r="D12" s="90" t="s">
        <v>234</v>
      </c>
    </row>
    <row r="13" spans="1:4" ht="16.5" hidden="1" thickBot="1" x14ac:dyDescent="0.3">
      <c r="A13" s="91" t="s">
        <v>235</v>
      </c>
      <c r="B13" s="23">
        <v>2063.6999999999998</v>
      </c>
      <c r="C13" s="90" t="s">
        <v>234</v>
      </c>
      <c r="D13" s="92" t="s">
        <v>234</v>
      </c>
    </row>
    <row r="14" spans="1:4" ht="16.5" hidden="1" thickBot="1" x14ac:dyDescent="0.3">
      <c r="A14" s="91" t="s">
        <v>236</v>
      </c>
      <c r="B14" s="23">
        <v>0</v>
      </c>
      <c r="C14" s="93"/>
      <c r="D14" s="92"/>
    </row>
    <row r="15" spans="1:4" ht="15.75" x14ac:dyDescent="0.25">
      <c r="A15" s="91" t="s">
        <v>237</v>
      </c>
      <c r="B15" s="23">
        <f>B13+B14</f>
        <v>2063.6999999999998</v>
      </c>
      <c r="C15" s="94"/>
      <c r="D15" s="95"/>
    </row>
    <row r="16" spans="1:4" ht="16.5" thickBot="1" x14ac:dyDescent="0.3">
      <c r="A16" s="91" t="s">
        <v>238</v>
      </c>
      <c r="B16" s="23">
        <f>610+2294.4/3</f>
        <v>1374.8000000000002</v>
      </c>
      <c r="C16" s="96" t="s">
        <v>234</v>
      </c>
      <c r="D16" s="95" t="s">
        <v>234</v>
      </c>
    </row>
    <row r="17" spans="1:7" ht="16.5" hidden="1" thickBot="1" x14ac:dyDescent="0.3">
      <c r="A17" s="91" t="s">
        <v>239</v>
      </c>
      <c r="B17" s="23">
        <v>0</v>
      </c>
      <c r="C17" s="90" t="s">
        <v>234</v>
      </c>
      <c r="D17" s="92" t="s">
        <v>234</v>
      </c>
      <c r="E17" s="77"/>
      <c r="F17" s="77"/>
      <c r="G17" s="77"/>
    </row>
    <row r="18" spans="1:7" ht="16.5" hidden="1" thickBot="1" x14ac:dyDescent="0.3">
      <c r="A18" s="91" t="s">
        <v>240</v>
      </c>
      <c r="B18" s="23">
        <v>0</v>
      </c>
      <c r="C18" s="95" t="s">
        <v>234</v>
      </c>
      <c r="D18" s="92" t="s">
        <v>234</v>
      </c>
      <c r="E18" s="77"/>
      <c r="F18" s="77"/>
      <c r="G18" s="77"/>
    </row>
    <row r="19" spans="1:7" ht="16.5" hidden="1" thickBot="1" x14ac:dyDescent="0.3">
      <c r="A19" s="91" t="s">
        <v>241</v>
      </c>
      <c r="B19" s="23">
        <v>0</v>
      </c>
      <c r="C19" s="95" t="s">
        <v>234</v>
      </c>
      <c r="D19" s="92" t="s">
        <v>234</v>
      </c>
      <c r="E19" s="77"/>
      <c r="F19" s="77"/>
      <c r="G19" s="77"/>
    </row>
    <row r="20" spans="1:7" ht="16.5" hidden="1" thickBot="1" x14ac:dyDescent="0.3">
      <c r="A20" s="91" t="s">
        <v>242</v>
      </c>
      <c r="B20" s="23">
        <v>832.3</v>
      </c>
      <c r="C20" s="95"/>
      <c r="D20" s="92"/>
      <c r="E20" s="77"/>
      <c r="F20" s="77"/>
      <c r="G20" s="77"/>
    </row>
    <row r="21" spans="1:7" ht="16.5" hidden="1" thickBot="1" x14ac:dyDescent="0.3">
      <c r="A21" s="91" t="s">
        <v>243</v>
      </c>
      <c r="B21" s="23">
        <v>0</v>
      </c>
      <c r="C21" s="95" t="s">
        <v>234</v>
      </c>
      <c r="D21" s="92" t="s">
        <v>234</v>
      </c>
      <c r="E21" s="77"/>
      <c r="F21" s="77"/>
      <c r="G21" s="77"/>
    </row>
    <row r="22" spans="1:7" ht="16.5" hidden="1" thickBot="1" x14ac:dyDescent="0.3">
      <c r="A22" s="91" t="s">
        <v>244</v>
      </c>
      <c r="B22" s="23">
        <v>116</v>
      </c>
      <c r="C22" s="93"/>
      <c r="D22" s="92"/>
      <c r="E22" s="77"/>
      <c r="F22" s="77"/>
      <c r="G22" s="77"/>
    </row>
    <row r="23" spans="1:7" ht="15.75" x14ac:dyDescent="0.25">
      <c r="A23" s="91"/>
      <c r="B23" s="23"/>
      <c r="C23" s="94"/>
      <c r="D23" s="95"/>
      <c r="E23" s="77">
        <v>10</v>
      </c>
      <c r="F23" s="77">
        <v>2</v>
      </c>
      <c r="G23" s="77"/>
    </row>
    <row r="24" spans="1:7" ht="15.75" x14ac:dyDescent="0.25">
      <c r="A24" s="97" t="s">
        <v>319</v>
      </c>
      <c r="B24" s="28">
        <f>VLOOKUP(A5,[2]Лист1!M$1:N$65536,2,FALSE)</f>
        <v>555268.1</v>
      </c>
      <c r="C24" s="92"/>
      <c r="D24" s="95"/>
      <c r="E24" s="26">
        <v>22</v>
      </c>
      <c r="F24" s="256">
        <v>24.626799999999999</v>
      </c>
      <c r="G24" s="77"/>
    </row>
    <row r="25" spans="1:7" ht="16.5" thickBot="1" x14ac:dyDescent="0.3">
      <c r="A25" s="97" t="s">
        <v>320</v>
      </c>
      <c r="B25" s="28">
        <f>VLOOKUP(A5,[2]Лист1!M$1:O$65536,3,FALSE)</f>
        <v>535942.07999999996</v>
      </c>
      <c r="C25" s="96"/>
      <c r="D25" s="95"/>
      <c r="E25" s="77"/>
      <c r="F25" s="77"/>
      <c r="G25" s="77"/>
    </row>
    <row r="26" spans="1:7" ht="16.5" hidden="1" thickBot="1" x14ac:dyDescent="0.3">
      <c r="A26" s="97" t="s">
        <v>321</v>
      </c>
      <c r="B26" s="28"/>
      <c r="C26" s="90"/>
      <c r="D26" s="92"/>
      <c r="E26" s="77"/>
      <c r="F26" s="77"/>
      <c r="G26" s="77"/>
    </row>
    <row r="27" spans="1:7" ht="16.5" hidden="1" thickBot="1" x14ac:dyDescent="0.3">
      <c r="A27" s="97" t="s">
        <v>248</v>
      </c>
      <c r="B27" s="28">
        <f>B26</f>
        <v>0</v>
      </c>
      <c r="C27" s="93"/>
      <c r="D27" s="92"/>
      <c r="E27" s="77"/>
      <c r="F27" s="77"/>
      <c r="G27" s="77"/>
    </row>
    <row r="28" spans="1:7" ht="16.5" thickBot="1" x14ac:dyDescent="0.3">
      <c r="A28" s="97" t="s">
        <v>249</v>
      </c>
      <c r="B28" s="28">
        <v>7611.96</v>
      </c>
      <c r="C28" s="89"/>
      <c r="D28" s="95"/>
      <c r="E28" s="77"/>
      <c r="F28" s="77"/>
      <c r="G28" s="77"/>
    </row>
    <row r="29" spans="1:7" ht="16.5" hidden="1" thickBot="1" x14ac:dyDescent="0.3">
      <c r="A29" s="97" t="s">
        <v>374</v>
      </c>
      <c r="B29" s="28"/>
      <c r="C29" s="98"/>
      <c r="D29" s="92"/>
      <c r="E29" s="77"/>
      <c r="F29" s="77"/>
      <c r="G29" s="77"/>
    </row>
    <row r="30" spans="1:7" ht="15.75" x14ac:dyDescent="0.25">
      <c r="A30" s="99"/>
      <c r="B30" s="23"/>
      <c r="C30" s="94"/>
      <c r="D30" s="95"/>
      <c r="E30" s="77"/>
      <c r="F30" s="77"/>
      <c r="G30" s="77"/>
    </row>
    <row r="31" spans="1:7" ht="15.75" x14ac:dyDescent="0.25">
      <c r="A31" s="100" t="s">
        <v>251</v>
      </c>
      <c r="B31" s="23"/>
      <c r="C31" s="92"/>
      <c r="D31" s="95"/>
      <c r="E31" s="77"/>
      <c r="F31" s="77"/>
      <c r="G31" s="77"/>
    </row>
    <row r="32" spans="1:7" s="103" customFormat="1" ht="31.5" x14ac:dyDescent="0.25">
      <c r="A32" s="101" t="s">
        <v>252</v>
      </c>
      <c r="B32" s="208">
        <f>SUM(B33:B41)</f>
        <v>26884.810015999999</v>
      </c>
      <c r="C32" s="92"/>
      <c r="D32" s="95"/>
      <c r="E32" s="102">
        <f>(B86-B26-B24)/1.2/1.03</f>
        <v>-116623.91169779633</v>
      </c>
      <c r="F32" s="102" t="e">
        <f>(#REF!-#REF!-#REF!)/1.2/1.03</f>
        <v>#REF!</v>
      </c>
      <c r="G32" s="102" t="e">
        <f>(#REF!-#REF!-#REF!)/1.2/1.03</f>
        <v>#REF!</v>
      </c>
    </row>
    <row r="33" spans="1:7" ht="16.5" thickBot="1" x14ac:dyDescent="0.3">
      <c r="A33" s="104" t="s">
        <v>253</v>
      </c>
      <c r="B33" s="23">
        <f>18494.64*1.1194</f>
        <v>20702.900016</v>
      </c>
      <c r="C33" s="96"/>
      <c r="D33" s="95">
        <v>22334.59</v>
      </c>
      <c r="E33" s="77"/>
      <c r="F33" s="77"/>
      <c r="G33" s="77"/>
    </row>
    <row r="34" spans="1:7" ht="15.75" hidden="1" x14ac:dyDescent="0.25">
      <c r="A34" s="104" t="s">
        <v>322</v>
      </c>
      <c r="B34" s="23">
        <v>0</v>
      </c>
      <c r="C34" s="90"/>
      <c r="D34" s="92">
        <v>0</v>
      </c>
      <c r="E34" s="77"/>
      <c r="F34" s="77"/>
      <c r="G34" s="77"/>
    </row>
    <row r="35" spans="1:7" ht="15.75" hidden="1" x14ac:dyDescent="0.25">
      <c r="A35" s="104" t="s">
        <v>256</v>
      </c>
      <c r="B35" s="23"/>
      <c r="C35" s="95"/>
      <c r="D35" s="92">
        <v>0</v>
      </c>
      <c r="E35" s="77"/>
      <c r="F35" s="77"/>
      <c r="G35" s="77"/>
    </row>
    <row r="36" spans="1:7" ht="16.5" thickBot="1" x14ac:dyDescent="0.3">
      <c r="A36" s="104" t="s">
        <v>255</v>
      </c>
      <c r="B36" s="23">
        <v>6181.91</v>
      </c>
      <c r="C36" s="95" t="s">
        <v>234</v>
      </c>
      <c r="D36" s="92">
        <v>0</v>
      </c>
      <c r="E36" s="77"/>
      <c r="F36" s="77"/>
      <c r="G36" s="77"/>
    </row>
    <row r="37" spans="1:7" ht="16.5" hidden="1" thickBot="1" x14ac:dyDescent="0.3">
      <c r="A37" s="104" t="s">
        <v>257</v>
      </c>
      <c r="B37" s="23">
        <v>0</v>
      </c>
      <c r="C37" s="95"/>
      <c r="D37" s="92">
        <v>0</v>
      </c>
      <c r="E37" s="77"/>
      <c r="F37" s="77"/>
      <c r="G37" s="77"/>
    </row>
    <row r="38" spans="1:7" ht="16.5" hidden="1" thickBot="1" x14ac:dyDescent="0.3">
      <c r="A38" s="104" t="s">
        <v>258</v>
      </c>
      <c r="B38" s="23">
        <v>0</v>
      </c>
      <c r="C38" s="95"/>
      <c r="D38" s="92">
        <v>0</v>
      </c>
      <c r="E38" s="77"/>
      <c r="F38" s="77"/>
      <c r="G38" s="77"/>
    </row>
    <row r="39" spans="1:7" ht="16.5" hidden="1" thickBot="1" x14ac:dyDescent="0.3">
      <c r="A39" s="104" t="s">
        <v>324</v>
      </c>
      <c r="B39" s="23">
        <v>0</v>
      </c>
      <c r="C39" s="95"/>
      <c r="D39" s="92">
        <v>0</v>
      </c>
      <c r="E39" s="77"/>
      <c r="F39" s="77"/>
      <c r="G39" s="77"/>
    </row>
    <row r="40" spans="1:7" ht="16.5" hidden="1" thickBot="1" x14ac:dyDescent="0.3">
      <c r="A40" s="104" t="s">
        <v>342</v>
      </c>
      <c r="B40" s="23">
        <v>0</v>
      </c>
      <c r="C40" s="95"/>
      <c r="D40" s="92"/>
      <c r="E40" s="77"/>
      <c r="F40" s="77"/>
      <c r="G40" s="77"/>
    </row>
    <row r="41" spans="1:7" ht="16.5" hidden="1" thickBot="1" x14ac:dyDescent="0.3">
      <c r="A41" s="104" t="s">
        <v>343</v>
      </c>
      <c r="B41" s="23">
        <v>0</v>
      </c>
      <c r="C41" s="93"/>
      <c r="D41" s="92"/>
      <c r="E41" s="77"/>
      <c r="F41" s="77"/>
      <c r="G41" s="77"/>
    </row>
    <row r="42" spans="1:7" s="103" customFormat="1" ht="48" thickBot="1" x14ac:dyDescent="0.3">
      <c r="A42" s="101" t="s">
        <v>325</v>
      </c>
      <c r="B42" s="208">
        <f>SUM(B43:B45)</f>
        <v>13994.969328623807</v>
      </c>
      <c r="C42" s="89"/>
      <c r="D42" s="95"/>
      <c r="E42" s="102"/>
      <c r="F42" s="102"/>
      <c r="G42" s="102"/>
    </row>
    <row r="43" spans="1:7" ht="15.75" x14ac:dyDescent="0.25">
      <c r="A43" s="104" t="s">
        <v>262</v>
      </c>
      <c r="B43" s="23">
        <v>1508.87</v>
      </c>
      <c r="C43" s="98"/>
      <c r="D43" s="108"/>
      <c r="E43" s="77"/>
      <c r="F43" s="77"/>
      <c r="G43" s="77"/>
    </row>
    <row r="44" spans="1:7" ht="15.75" hidden="1" x14ac:dyDescent="0.25">
      <c r="A44" s="104" t="s">
        <v>263</v>
      </c>
      <c r="B44" s="23"/>
      <c r="C44" s="93"/>
      <c r="D44" s="108"/>
      <c r="E44" s="77"/>
      <c r="F44" s="77"/>
      <c r="G44" s="77"/>
    </row>
    <row r="45" spans="1:7" ht="16.5" thickBot="1" x14ac:dyDescent="0.3">
      <c r="A45" s="109" t="s">
        <v>264</v>
      </c>
      <c r="B45" s="23">
        <f>('[3]34тарифы'!D163*B15+205.39)*1.1194</f>
        <v>12486.099328623806</v>
      </c>
      <c r="C45" s="93"/>
      <c r="D45" s="108"/>
      <c r="E45" s="77"/>
      <c r="F45" s="77"/>
      <c r="G45" s="77"/>
    </row>
    <row r="46" spans="1:7" s="79" customFormat="1" ht="16.5" thickBot="1" x14ac:dyDescent="0.3">
      <c r="A46" s="101" t="s">
        <v>265</v>
      </c>
      <c r="B46" s="208">
        <f>SUM(B47:B65)</f>
        <v>15852.91</v>
      </c>
      <c r="C46" s="89"/>
      <c r="D46" s="95"/>
    </row>
    <row r="47" spans="1:7" ht="15.75" hidden="1" x14ac:dyDescent="0.25">
      <c r="A47" s="104" t="s">
        <v>326</v>
      </c>
      <c r="B47" s="23">
        <v>0</v>
      </c>
      <c r="C47" s="90"/>
      <c r="D47" s="92"/>
      <c r="E47" s="77" t="s">
        <v>267</v>
      </c>
      <c r="F47" s="77"/>
      <c r="G47" s="77"/>
    </row>
    <row r="48" spans="1:7" ht="15.75" x14ac:dyDescent="0.25">
      <c r="A48" s="104" t="s">
        <v>317</v>
      </c>
      <c r="B48" s="23">
        <v>0</v>
      </c>
      <c r="C48" s="95"/>
      <c r="D48" s="92"/>
      <c r="E48" s="77" t="s">
        <v>269</v>
      </c>
      <c r="F48" s="77"/>
      <c r="G48" s="77"/>
    </row>
    <row r="49" spans="1:5" ht="15.75" x14ac:dyDescent="0.25">
      <c r="A49" s="110" t="s">
        <v>482</v>
      </c>
      <c r="B49" s="283">
        <v>0</v>
      </c>
      <c r="C49" s="95"/>
      <c r="D49" s="92"/>
      <c r="E49" s="77"/>
    </row>
    <row r="50" spans="1:5" ht="15.75" x14ac:dyDescent="0.25">
      <c r="A50" s="110" t="s">
        <v>282</v>
      </c>
      <c r="B50" s="290">
        <v>112.38</v>
      </c>
      <c r="C50" s="95"/>
      <c r="D50" s="92">
        <v>4190</v>
      </c>
      <c r="E50" s="77"/>
    </row>
    <row r="51" spans="1:5" ht="15.75" hidden="1" x14ac:dyDescent="0.25">
      <c r="A51" s="110" t="s">
        <v>272</v>
      </c>
      <c r="B51" s="23">
        <v>0</v>
      </c>
      <c r="C51" s="95"/>
      <c r="D51" s="92"/>
      <c r="E51" s="77"/>
    </row>
    <row r="52" spans="1:5" ht="15.75" hidden="1" x14ac:dyDescent="0.25">
      <c r="A52" s="110" t="s">
        <v>273</v>
      </c>
      <c r="B52" s="23">
        <f>B21*'[3]34тарифы'!D177</f>
        <v>0</v>
      </c>
      <c r="C52" s="95"/>
      <c r="D52" s="92">
        <v>105.14</v>
      </c>
      <c r="E52" s="77"/>
    </row>
    <row r="53" spans="1:5" ht="15.75" hidden="1" x14ac:dyDescent="0.25">
      <c r="A53" s="110" t="s">
        <v>274</v>
      </c>
      <c r="B53" s="23">
        <v>0</v>
      </c>
      <c r="C53" s="95">
        <v>0</v>
      </c>
      <c r="D53" s="92">
        <v>522.99</v>
      </c>
      <c r="E53" s="77"/>
    </row>
    <row r="54" spans="1:5" ht="15.75" hidden="1" x14ac:dyDescent="0.25">
      <c r="A54" s="110" t="s">
        <v>275</v>
      </c>
      <c r="B54" s="23">
        <v>0</v>
      </c>
      <c r="C54" s="95">
        <v>0</v>
      </c>
      <c r="D54" s="111">
        <v>695.13</v>
      </c>
      <c r="E54" s="77"/>
    </row>
    <row r="55" spans="1:5" ht="15.75" hidden="1" x14ac:dyDescent="0.25">
      <c r="A55" s="110" t="s">
        <v>276</v>
      </c>
      <c r="B55" s="23">
        <v>0</v>
      </c>
      <c r="C55" s="95"/>
      <c r="D55" s="111"/>
      <c r="E55" s="77"/>
    </row>
    <row r="56" spans="1:5" ht="15.75" hidden="1" x14ac:dyDescent="0.25">
      <c r="A56" s="110" t="s">
        <v>277</v>
      </c>
      <c r="B56" s="23">
        <v>0</v>
      </c>
      <c r="C56" s="95">
        <v>0</v>
      </c>
      <c r="D56" s="92">
        <f>10695.76/1.18</f>
        <v>9064.203389830509</v>
      </c>
      <c r="E56" s="77"/>
    </row>
    <row r="57" spans="1:5" ht="15.75" hidden="1" x14ac:dyDescent="0.25">
      <c r="A57" s="110" t="s">
        <v>314</v>
      </c>
      <c r="B57" s="23">
        <v>0</v>
      </c>
      <c r="C57" s="95">
        <v>0</v>
      </c>
      <c r="D57" s="92">
        <f>2300/1.18</f>
        <v>1949.1525423728815</v>
      </c>
      <c r="E57" s="77"/>
    </row>
    <row r="58" spans="1:5" ht="15.75" x14ac:dyDescent="0.25">
      <c r="A58" s="110" t="s">
        <v>316</v>
      </c>
      <c r="B58" s="23">
        <v>0</v>
      </c>
      <c r="C58" s="93">
        <v>0</v>
      </c>
      <c r="D58" s="92">
        <v>0</v>
      </c>
      <c r="E58" s="77"/>
    </row>
    <row r="59" spans="1:5" ht="16.5" hidden="1" thickBot="1" x14ac:dyDescent="0.3">
      <c r="A59" s="110" t="s">
        <v>279</v>
      </c>
      <c r="B59" s="23">
        <f>B13*'[3]34тарифы'!D184</f>
        <v>0</v>
      </c>
      <c r="C59" s="89"/>
      <c r="D59" s="95"/>
      <c r="E59" s="77"/>
    </row>
    <row r="60" spans="1:5" ht="15.75" hidden="1" x14ac:dyDescent="0.25">
      <c r="A60" s="104" t="s">
        <v>280</v>
      </c>
      <c r="B60" s="23">
        <v>0</v>
      </c>
      <c r="C60" s="90"/>
      <c r="D60" s="92"/>
      <c r="E60" s="77"/>
    </row>
    <row r="61" spans="1:5" ht="15.75" hidden="1" x14ac:dyDescent="0.25">
      <c r="A61" s="104" t="s">
        <v>281</v>
      </c>
      <c r="B61" s="23">
        <v>0</v>
      </c>
      <c r="C61" s="95"/>
      <c r="D61" s="92">
        <v>41600</v>
      </c>
      <c r="E61" s="77"/>
    </row>
    <row r="62" spans="1:5" ht="15.75" hidden="1" x14ac:dyDescent="0.25">
      <c r="A62" s="104" t="s">
        <v>340</v>
      </c>
      <c r="B62" s="23">
        <v>0</v>
      </c>
      <c r="C62" s="95"/>
      <c r="D62" s="92">
        <v>0</v>
      </c>
      <c r="E62" s="77"/>
    </row>
    <row r="63" spans="1:5" ht="16.5" thickBot="1" x14ac:dyDescent="0.3">
      <c r="A63" s="104" t="s">
        <v>327</v>
      </c>
      <c r="B63" s="229">
        <v>15740.53</v>
      </c>
      <c r="C63" s="113">
        <v>1</v>
      </c>
      <c r="D63" s="92">
        <v>0</v>
      </c>
      <c r="E63" s="77"/>
    </row>
    <row r="64" spans="1:5" ht="16.5" hidden="1" thickBot="1" x14ac:dyDescent="0.3">
      <c r="A64" s="104" t="s">
        <v>284</v>
      </c>
      <c r="B64" s="229">
        <v>0</v>
      </c>
      <c r="C64" s="114">
        <v>48</v>
      </c>
      <c r="D64" s="95">
        <v>2</v>
      </c>
      <c r="E64" s="77">
        <v>1</v>
      </c>
    </row>
    <row r="65" spans="1:4" s="79" customFormat="1" ht="16.5" hidden="1" thickBot="1" x14ac:dyDescent="0.3">
      <c r="A65" s="104" t="s">
        <v>285</v>
      </c>
      <c r="B65" s="229">
        <v>0</v>
      </c>
      <c r="C65" s="115">
        <v>48</v>
      </c>
      <c r="D65" s="108">
        <f>650/1.18</f>
        <v>550.84745762711873</v>
      </c>
    </row>
    <row r="66" spans="1:4" ht="16.5" thickBot="1" x14ac:dyDescent="0.3">
      <c r="A66" s="116" t="s">
        <v>286</v>
      </c>
      <c r="B66" s="208">
        <f>SUM(B67:B74)</f>
        <v>142608.46832732909</v>
      </c>
      <c r="C66" s="89"/>
      <c r="D66" s="93"/>
    </row>
    <row r="67" spans="1:4" ht="16.5" hidden="1" thickBot="1" x14ac:dyDescent="0.3">
      <c r="A67" s="104" t="s">
        <v>287</v>
      </c>
      <c r="B67" s="23">
        <v>0</v>
      </c>
      <c r="C67" s="98"/>
      <c r="D67" s="108"/>
    </row>
    <row r="68" spans="1:4" ht="16.5" thickBot="1" x14ac:dyDescent="0.3">
      <c r="A68" s="104" t="s">
        <v>288</v>
      </c>
      <c r="B68" s="23">
        <f>49718*1.04*1.1194</f>
        <v>57880.502368000001</v>
      </c>
      <c r="C68" s="89"/>
      <c r="D68" s="93"/>
    </row>
    <row r="69" spans="1:4" ht="15.75" hidden="1" x14ac:dyDescent="0.25">
      <c r="A69" s="104" t="s">
        <v>289</v>
      </c>
      <c r="B69" s="23">
        <v>0</v>
      </c>
      <c r="C69" s="98"/>
      <c r="D69" s="108"/>
    </row>
    <row r="70" spans="1:4" ht="16.5" thickBot="1" x14ac:dyDescent="0.3">
      <c r="A70" s="109" t="s">
        <v>290</v>
      </c>
      <c r="B70" s="23">
        <f>'[3]34тарифы'!D164*B13*1.1194</f>
        <v>2546.8272254456479</v>
      </c>
      <c r="C70" s="93"/>
      <c r="D70" s="108"/>
    </row>
    <row r="71" spans="1:4" ht="15.75" x14ac:dyDescent="0.25">
      <c r="A71" s="109" t="s">
        <v>291</v>
      </c>
      <c r="B71" s="23">
        <f>VLOOKUP(A71,[2]Лист1!S$1:T$65536,2,FALSE)*B15</f>
        <v>9544.4161062649146</v>
      </c>
      <c r="C71" s="117"/>
      <c r="D71" s="93"/>
    </row>
    <row r="72" spans="1:4" ht="15.75" x14ac:dyDescent="0.25">
      <c r="A72" s="109" t="s">
        <v>292</v>
      </c>
      <c r="B72" s="23">
        <f>VLOOKUP(A72,[2]Лист1!S$1:T$65536,2,FALSE)*B15</f>
        <v>33317.842403618539</v>
      </c>
      <c r="C72" s="108"/>
      <c r="D72" s="93"/>
    </row>
    <row r="73" spans="1:4" ht="15.75" x14ac:dyDescent="0.25">
      <c r="A73" s="41" t="s">
        <v>293</v>
      </c>
      <c r="B73" s="23">
        <f>3576*1.04*1.1194</f>
        <v>4163.0933759999998</v>
      </c>
      <c r="C73" s="108"/>
      <c r="D73" s="93"/>
    </row>
    <row r="74" spans="1:4" ht="15.75" x14ac:dyDescent="0.25">
      <c r="A74" s="109" t="s">
        <v>294</v>
      </c>
      <c r="B74" s="23">
        <f>30198*1.04*1.1194</f>
        <v>35155.786848000003</v>
      </c>
      <c r="C74" s="108"/>
      <c r="D74" s="93"/>
    </row>
    <row r="75" spans="1:4" ht="47.25" x14ac:dyDescent="0.25">
      <c r="A75" s="118" t="s">
        <v>328</v>
      </c>
      <c r="B75" s="208">
        <f>SUM(B76:B76)</f>
        <v>70194.938524297642</v>
      </c>
      <c r="C75" s="108"/>
      <c r="D75" s="93"/>
    </row>
    <row r="76" spans="1:4" s="79" customFormat="1" ht="15.75" x14ac:dyDescent="0.25">
      <c r="A76" s="109" t="s">
        <v>296</v>
      </c>
      <c r="B76" s="23">
        <f>'[3]34ОЭР'!D194*1.1194</f>
        <v>70194.938524297642</v>
      </c>
      <c r="C76" s="108"/>
      <c r="D76" s="93"/>
    </row>
    <row r="77" spans="1:4" ht="15.75" x14ac:dyDescent="0.25">
      <c r="A77" s="116" t="s">
        <v>297</v>
      </c>
      <c r="B77" s="208">
        <f>SUM(B78:B81)</f>
        <v>63086.027704658634</v>
      </c>
      <c r="C77" s="108"/>
      <c r="D77" s="93"/>
    </row>
    <row r="78" spans="1:4" ht="32.25" thickBot="1" x14ac:dyDescent="0.3">
      <c r="A78" s="119" t="s">
        <v>329</v>
      </c>
      <c r="B78" s="23">
        <f>'[3]34тарифы'!D170*B15*1.1194</f>
        <v>49778.482640031274</v>
      </c>
      <c r="C78" s="96"/>
      <c r="D78" s="93"/>
    </row>
    <row r="79" spans="1:4" ht="16.5" hidden="1" thickBot="1" x14ac:dyDescent="0.3">
      <c r="A79" s="51" t="s">
        <v>299</v>
      </c>
      <c r="B79" s="23">
        <f>(B26/1.2)*30%</f>
        <v>0</v>
      </c>
      <c r="C79" s="98"/>
      <c r="D79" s="108"/>
    </row>
    <row r="80" spans="1:4" ht="15.75" x14ac:dyDescent="0.25">
      <c r="A80" s="120" t="s">
        <v>330</v>
      </c>
      <c r="B80" s="23">
        <f>4262.5+4511.05</f>
        <v>8773.5499999999993</v>
      </c>
      <c r="C80" s="117"/>
      <c r="D80" s="93"/>
    </row>
    <row r="81" spans="1:4" ht="15.75" x14ac:dyDescent="0.25">
      <c r="A81" s="120" t="s">
        <v>331</v>
      </c>
      <c r="B81" s="23">
        <f>'[3]34тарифы'!D173*B13*1.1194</f>
        <v>4533.9950646273601</v>
      </c>
      <c r="C81" s="108"/>
      <c r="D81" s="93"/>
    </row>
    <row r="82" spans="1:4" ht="15.75" x14ac:dyDescent="0.25">
      <c r="A82" s="121" t="s">
        <v>302</v>
      </c>
      <c r="B82" s="28">
        <f>B32+B42+B46+B66+B75+B77</f>
        <v>332622.12390090915</v>
      </c>
      <c r="C82" s="108"/>
      <c r="D82" s="93"/>
    </row>
    <row r="83" spans="1:4" s="103" customFormat="1" ht="15.75" x14ac:dyDescent="0.25">
      <c r="A83" s="122" t="s">
        <v>303</v>
      </c>
      <c r="B83" s="23">
        <f>B82*0.03</f>
        <v>9978.6637170272734</v>
      </c>
      <c r="C83" s="108"/>
      <c r="D83" s="93"/>
    </row>
    <row r="84" spans="1:4" ht="15.75" x14ac:dyDescent="0.25">
      <c r="A84" s="123" t="s">
        <v>304</v>
      </c>
      <c r="B84" s="208">
        <f>B82+B83</f>
        <v>342600.78761793644</v>
      </c>
      <c r="C84" s="108"/>
      <c r="D84" s="93"/>
    </row>
    <row r="85" spans="1:4" s="79" customFormat="1" ht="16.5" thickBot="1" x14ac:dyDescent="0.3">
      <c r="A85" s="124" t="s">
        <v>305</v>
      </c>
      <c r="B85" s="240">
        <f>B84*0.2</f>
        <v>68520.157523587288</v>
      </c>
      <c r="C85" s="108"/>
      <c r="D85" s="93"/>
    </row>
    <row r="86" spans="1:4" s="79" customFormat="1" ht="16.5" thickBot="1" x14ac:dyDescent="0.3">
      <c r="A86" s="125" t="s">
        <v>306</v>
      </c>
      <c r="B86" s="66">
        <f>B84+B85</f>
        <v>411120.94514152373</v>
      </c>
      <c r="C86" s="89"/>
      <c r="D86" s="126"/>
    </row>
    <row r="87" spans="1:4" s="79" customFormat="1" ht="16.5" thickBot="1" x14ac:dyDescent="0.3">
      <c r="A87" s="127" t="s">
        <v>307</v>
      </c>
      <c r="B87" s="296">
        <f>B10+B24+B26+B28+B29-B86</f>
        <v>538433.11485847621</v>
      </c>
      <c r="C87" s="128"/>
      <c r="D87" s="129"/>
    </row>
    <row r="88" spans="1:4" s="79" customFormat="1" ht="16.5" thickBot="1" x14ac:dyDescent="0.3">
      <c r="A88" s="130" t="s">
        <v>308</v>
      </c>
      <c r="B88" s="66">
        <f>B10+B25+B27+B28+B29-B86</f>
        <v>519107.09485847619</v>
      </c>
      <c r="C88" s="131"/>
      <c r="D88" s="129"/>
    </row>
    <row r="89" spans="1:4" s="79" customFormat="1" ht="16.5" hidden="1" thickBot="1" x14ac:dyDescent="0.3">
      <c r="A89" s="132" t="s">
        <v>309</v>
      </c>
      <c r="B89" s="66">
        <f>B11+B24-B25</f>
        <v>19326.020000000019</v>
      </c>
      <c r="C89" s="129"/>
      <c r="D89" s="129"/>
    </row>
    <row r="90" spans="1:4" ht="15.75" x14ac:dyDescent="0.25">
      <c r="A90" s="133"/>
      <c r="B90" s="242"/>
      <c r="C90" s="129"/>
      <c r="D90" s="129"/>
    </row>
    <row r="91" spans="1:4" ht="15.75" x14ac:dyDescent="0.25">
      <c r="A91" s="134"/>
      <c r="B91" s="3"/>
      <c r="C91" s="77"/>
      <c r="D91" s="77"/>
    </row>
    <row r="92" spans="1:4" ht="15.75" x14ac:dyDescent="0.25">
      <c r="A92" s="323" t="s">
        <v>332</v>
      </c>
      <c r="B92" s="323"/>
      <c r="C92" s="77"/>
      <c r="D92" s="77"/>
    </row>
    <row r="93" spans="1:4" ht="15.75" x14ac:dyDescent="0.25">
      <c r="A93" s="134"/>
      <c r="B93" s="3"/>
      <c r="C93" s="77"/>
      <c r="D93" s="77"/>
    </row>
    <row r="94" spans="1:4" ht="15.75" hidden="1" x14ac:dyDescent="0.25">
      <c r="A94" s="324" t="s">
        <v>333</v>
      </c>
      <c r="B94" s="324"/>
      <c r="C94" s="135"/>
      <c r="D94" s="77"/>
    </row>
    <row r="95" spans="1:4" ht="15.75" x14ac:dyDescent="0.25">
      <c r="A95" s="77"/>
      <c r="B95" s="3"/>
      <c r="C95" s="77"/>
      <c r="D95" s="77"/>
    </row>
  </sheetData>
  <autoFilter ref="A31:G89" xr:uid="{00000000-0009-0000-0000-00004A000000}">
    <filterColumn colId="1">
      <filters>
        <filter val="1 508,87"/>
        <filter val="11 274,96"/>
        <filter val="12 486,10"/>
        <filter val="13 994,97"/>
        <filter val="142 608,47"/>
        <filter val="2 546,83"/>
        <filter val="20 702,90"/>
        <filter val="23 437,02"/>
        <filter val="242,00"/>
        <filter val="26 884,81"/>
        <filter val="29 093,38"/>
        <filter val="33 317,84"/>
        <filter val="35 155,79"/>
        <filter val="367 347,98"/>
        <filter val="375 831,99"/>
        <filter val="386 674,00"/>
        <filter val="387 106,95"/>
        <filter val="4 163,09"/>
        <filter val="4 534,00"/>
        <filter val="4 701,48"/>
        <filter val="464 528,34"/>
        <filter val="49 778,48"/>
        <filter val="57 880,50"/>
        <filter val="58 133,83"/>
        <filter val="6 181,91"/>
        <filter val="64 014,97"/>
        <filter val="659,95"/>
        <filter val="70 194,94"/>
        <filter val="77 421,39"/>
        <filter val="9 544,42"/>
        <filter val="9 702,49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83"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 filterMode="1">
    <pageSetUpPr fitToPage="1"/>
  </sheetPr>
  <dimension ref="A1:G96"/>
  <sheetViews>
    <sheetView view="pageBreakPreview" topLeftCell="A28" zoomScale="87" zoomScaleNormal="100" zoomScaleSheetLayoutView="87" workbookViewId="0">
      <selection activeCell="B81" sqref="B81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5" ht="16.5" customHeight="1" x14ac:dyDescent="0.25">
      <c r="A1" s="325" t="s">
        <v>224</v>
      </c>
      <c r="B1" s="325"/>
      <c r="C1" s="77"/>
      <c r="D1" s="77"/>
      <c r="E1" s="77"/>
    </row>
    <row r="2" spans="1:5" ht="16.5" x14ac:dyDescent="0.25">
      <c r="A2" s="326" t="s">
        <v>225</v>
      </c>
      <c r="B2" s="326"/>
      <c r="C2" s="77"/>
      <c r="D2" s="77"/>
      <c r="E2" s="77"/>
    </row>
    <row r="3" spans="1:5" ht="16.5" x14ac:dyDescent="0.25">
      <c r="A3" s="326" t="s">
        <v>226</v>
      </c>
      <c r="B3" s="326"/>
      <c r="C3" s="77"/>
      <c r="D3" s="77"/>
      <c r="E3" s="77"/>
    </row>
    <row r="4" spans="1:5" ht="15.75" x14ac:dyDescent="0.25">
      <c r="A4" s="78" t="s">
        <v>516</v>
      </c>
      <c r="B4" s="78"/>
      <c r="C4" s="77"/>
      <c r="D4" s="77"/>
      <c r="E4" s="77"/>
    </row>
    <row r="5" spans="1:5" ht="15.75" x14ac:dyDescent="0.25">
      <c r="A5" s="78" t="s">
        <v>169</v>
      </c>
      <c r="B5" s="78"/>
      <c r="C5" s="77"/>
      <c r="D5" s="77"/>
      <c r="E5" s="77"/>
    </row>
    <row r="6" spans="1:5" ht="5.25" customHeight="1" x14ac:dyDescent="0.25">
      <c r="A6" s="78"/>
      <c r="B6" s="8"/>
      <c r="C6" s="79"/>
      <c r="D6" s="77"/>
      <c r="E6" s="77"/>
    </row>
    <row r="7" spans="1:5" ht="16.5" thickBot="1" x14ac:dyDescent="0.3">
      <c r="A7" s="80"/>
      <c r="B7" s="8"/>
      <c r="C7" s="79"/>
      <c r="D7" s="77"/>
      <c r="E7" s="77"/>
    </row>
    <row r="8" spans="1:5" ht="15.75" customHeight="1" x14ac:dyDescent="0.25">
      <c r="A8" s="327" t="s">
        <v>227</v>
      </c>
      <c r="B8" s="329" t="s">
        <v>228</v>
      </c>
      <c r="C8" s="331" t="s">
        <v>229</v>
      </c>
      <c r="D8" s="321" t="s">
        <v>230</v>
      </c>
      <c r="E8" s="77" t="s">
        <v>223</v>
      </c>
    </row>
    <row r="9" spans="1:5" ht="28.5" customHeight="1" thickBot="1" x14ac:dyDescent="0.3">
      <c r="A9" s="328"/>
      <c r="B9" s="330"/>
      <c r="C9" s="332"/>
      <c r="D9" s="322"/>
      <c r="E9" s="77"/>
    </row>
    <row r="10" spans="1:5" ht="16.5" thickBot="1" x14ac:dyDescent="0.3">
      <c r="A10" s="81" t="s">
        <v>231</v>
      </c>
      <c r="B10" s="302">
        <f>VLOOKUP(A5,мкд!S:T,2,FALSE)</f>
        <v>339679.45</v>
      </c>
      <c r="C10" s="83"/>
      <c r="D10" s="84"/>
      <c r="E10" s="77"/>
    </row>
    <row r="11" spans="1:5" ht="16.5" hidden="1" thickBot="1" x14ac:dyDescent="0.3">
      <c r="A11" s="85" t="s">
        <v>232</v>
      </c>
      <c r="B11" s="210"/>
      <c r="C11" s="84"/>
      <c r="D11" s="86"/>
      <c r="E11" s="77"/>
    </row>
    <row r="12" spans="1:5" ht="16.5" thickBot="1" x14ac:dyDescent="0.3">
      <c r="A12" s="87" t="s">
        <v>233</v>
      </c>
      <c r="B12" s="217"/>
      <c r="C12" s="89" t="s">
        <v>234</v>
      </c>
      <c r="D12" s="90" t="s">
        <v>234</v>
      </c>
      <c r="E12" s="77"/>
    </row>
    <row r="13" spans="1:5" ht="16.5" hidden="1" thickBot="1" x14ac:dyDescent="0.3">
      <c r="A13" s="91" t="s">
        <v>235</v>
      </c>
      <c r="B13" s="23">
        <v>2059</v>
      </c>
      <c r="C13" s="90" t="s">
        <v>234</v>
      </c>
      <c r="D13" s="92" t="s">
        <v>234</v>
      </c>
      <c r="E13" s="77"/>
    </row>
    <row r="14" spans="1:5" ht="16.5" hidden="1" thickBot="1" x14ac:dyDescent="0.3">
      <c r="A14" s="91" t="s">
        <v>236</v>
      </c>
      <c r="B14" s="23">
        <v>0</v>
      </c>
      <c r="C14" s="93"/>
      <c r="D14" s="92"/>
      <c r="E14" s="77"/>
    </row>
    <row r="15" spans="1:5" ht="15.75" x14ac:dyDescent="0.25">
      <c r="A15" s="91" t="s">
        <v>237</v>
      </c>
      <c r="B15" s="23">
        <f>B13+B14</f>
        <v>2059</v>
      </c>
      <c r="C15" s="94"/>
      <c r="D15" s="95"/>
      <c r="E15" s="77"/>
    </row>
    <row r="16" spans="1:5" ht="16.5" thickBot="1" x14ac:dyDescent="0.3">
      <c r="A16" s="91" t="s">
        <v>238</v>
      </c>
      <c r="B16" s="23">
        <f>433.5+2192.7/3</f>
        <v>1164.4000000000001</v>
      </c>
      <c r="C16" s="96" t="s">
        <v>234</v>
      </c>
      <c r="D16" s="95" t="s">
        <v>234</v>
      </c>
      <c r="E16" s="77"/>
    </row>
    <row r="17" spans="1:7" ht="16.5" hidden="1" thickBot="1" x14ac:dyDescent="0.3">
      <c r="A17" s="91" t="s">
        <v>239</v>
      </c>
      <c r="B17" s="23">
        <v>0</v>
      </c>
      <c r="C17" s="90" t="s">
        <v>234</v>
      </c>
      <c r="D17" s="92" t="s">
        <v>234</v>
      </c>
      <c r="E17" s="77"/>
      <c r="F17" s="77"/>
      <c r="G17" s="77"/>
    </row>
    <row r="18" spans="1:7" ht="16.5" hidden="1" thickBot="1" x14ac:dyDescent="0.3">
      <c r="A18" s="91" t="s">
        <v>240</v>
      </c>
      <c r="B18" s="23">
        <v>0</v>
      </c>
      <c r="C18" s="95" t="s">
        <v>234</v>
      </c>
      <c r="D18" s="92" t="s">
        <v>234</v>
      </c>
      <c r="E18" s="77"/>
      <c r="F18" s="77"/>
      <c r="G18" s="77"/>
    </row>
    <row r="19" spans="1:7" ht="16.5" hidden="1" thickBot="1" x14ac:dyDescent="0.3">
      <c r="A19" s="91" t="s">
        <v>241</v>
      </c>
      <c r="B19" s="23">
        <v>0</v>
      </c>
      <c r="C19" s="95" t="s">
        <v>234</v>
      </c>
      <c r="D19" s="92" t="s">
        <v>234</v>
      </c>
      <c r="E19" s="77"/>
      <c r="F19" s="77"/>
      <c r="G19" s="77"/>
    </row>
    <row r="20" spans="1:7" ht="16.5" hidden="1" thickBot="1" x14ac:dyDescent="0.3">
      <c r="A20" s="91" t="s">
        <v>242</v>
      </c>
      <c r="B20" s="23">
        <v>832.3</v>
      </c>
      <c r="C20" s="95"/>
      <c r="D20" s="92"/>
      <c r="E20" s="77"/>
      <c r="F20" s="77"/>
      <c r="G20" s="77"/>
    </row>
    <row r="21" spans="1:7" ht="16.5" hidden="1" thickBot="1" x14ac:dyDescent="0.3">
      <c r="A21" s="91" t="s">
        <v>243</v>
      </c>
      <c r="B21" s="23">
        <v>0</v>
      </c>
      <c r="C21" s="95" t="s">
        <v>234</v>
      </c>
      <c r="D21" s="92" t="s">
        <v>234</v>
      </c>
      <c r="E21" s="77"/>
      <c r="F21" s="77"/>
      <c r="G21" s="77"/>
    </row>
    <row r="22" spans="1:7" ht="16.5" hidden="1" thickBot="1" x14ac:dyDescent="0.3">
      <c r="A22" s="91" t="s">
        <v>244</v>
      </c>
      <c r="B22" s="23">
        <v>129</v>
      </c>
      <c r="C22" s="93"/>
      <c r="D22" s="92"/>
      <c r="E22" s="77"/>
      <c r="F22" s="77"/>
      <c r="G22" s="77"/>
    </row>
    <row r="23" spans="1:7" ht="15.75" x14ac:dyDescent="0.25">
      <c r="A23" s="91"/>
      <c r="B23" s="23"/>
      <c r="C23" s="94"/>
      <c r="D23" s="95"/>
      <c r="E23" s="77">
        <v>10</v>
      </c>
      <c r="F23" s="77">
        <v>2</v>
      </c>
      <c r="G23" s="77"/>
    </row>
    <row r="24" spans="1:7" ht="15.75" x14ac:dyDescent="0.25">
      <c r="A24" s="97" t="s">
        <v>319</v>
      </c>
      <c r="B24" s="28">
        <f>VLOOKUP(A5,[2]Лист1!M$1:N$65536,2,FALSE)</f>
        <v>407171.34</v>
      </c>
      <c r="C24" s="92"/>
      <c r="D24" s="95"/>
      <c r="E24" s="26">
        <v>16.2</v>
      </c>
      <c r="F24" s="256">
        <v>18.134279999999997</v>
      </c>
      <c r="G24" s="77"/>
    </row>
    <row r="25" spans="1:7" ht="16.5" thickBot="1" x14ac:dyDescent="0.3">
      <c r="A25" s="97" t="s">
        <v>320</v>
      </c>
      <c r="B25" s="28">
        <f>VLOOKUP(A5,[2]Лист1!M$1:O$65536,3,FALSE)</f>
        <v>414656.83000000007</v>
      </c>
      <c r="C25" s="96"/>
      <c r="D25" s="95"/>
      <c r="E25" s="77"/>
      <c r="F25" s="77"/>
      <c r="G25" s="77"/>
    </row>
    <row r="26" spans="1:7" ht="16.5" hidden="1" thickBot="1" x14ac:dyDescent="0.3">
      <c r="A26" s="97" t="s">
        <v>321</v>
      </c>
      <c r="B26" s="28"/>
      <c r="C26" s="90"/>
      <c r="D26" s="92"/>
      <c r="E26" s="77"/>
      <c r="F26" s="77"/>
      <c r="G26" s="77"/>
    </row>
    <row r="27" spans="1:7" ht="16.5" hidden="1" thickBot="1" x14ac:dyDescent="0.3">
      <c r="A27" s="97" t="s">
        <v>248</v>
      </c>
      <c r="B27" s="28">
        <f>B26</f>
        <v>0</v>
      </c>
      <c r="C27" s="93"/>
      <c r="D27" s="92"/>
      <c r="E27" s="77"/>
      <c r="F27" s="77"/>
      <c r="G27" s="77"/>
    </row>
    <row r="28" spans="1:7" ht="16.5" thickBot="1" x14ac:dyDescent="0.3">
      <c r="A28" s="97" t="s">
        <v>249</v>
      </c>
      <c r="B28" s="28">
        <v>5781.36</v>
      </c>
      <c r="C28" s="89"/>
      <c r="D28" s="95"/>
      <c r="E28" s="77"/>
      <c r="F28" s="77"/>
      <c r="G28" s="77"/>
    </row>
    <row r="29" spans="1:7" ht="16.5" hidden="1" thickBot="1" x14ac:dyDescent="0.3">
      <c r="A29" s="97" t="s">
        <v>250</v>
      </c>
      <c r="B29" s="28"/>
      <c r="C29" s="98"/>
      <c r="D29" s="92"/>
      <c r="E29" s="77"/>
      <c r="F29" s="77"/>
      <c r="G29" s="77"/>
    </row>
    <row r="30" spans="1:7" ht="15.75" x14ac:dyDescent="0.25">
      <c r="A30" s="99"/>
      <c r="B30" s="23"/>
      <c r="C30" s="94"/>
      <c r="D30" s="95"/>
      <c r="E30" s="77"/>
      <c r="F30" s="77"/>
      <c r="G30" s="77"/>
    </row>
    <row r="31" spans="1:7" ht="15.75" x14ac:dyDescent="0.25">
      <c r="A31" s="100" t="s">
        <v>251</v>
      </c>
      <c r="B31" s="23"/>
      <c r="C31" s="92"/>
      <c r="D31" s="95"/>
      <c r="E31" s="77"/>
      <c r="F31" s="77"/>
      <c r="G31" s="77"/>
    </row>
    <row r="32" spans="1:7" s="103" customFormat="1" ht="31.5" x14ac:dyDescent="0.25">
      <c r="A32" s="101" t="s">
        <v>252</v>
      </c>
      <c r="B32" s="208">
        <f>SUM(B33:B41)</f>
        <v>20702.900016</v>
      </c>
      <c r="C32" s="92"/>
      <c r="D32" s="95"/>
      <c r="E32" s="102">
        <f>(B87-B26-B24)/1.2/1.03</f>
        <v>-30064.023281128531</v>
      </c>
      <c r="F32" s="102" t="e">
        <f>(#REF!-#REF!-#REF!)/1.2/1.03</f>
        <v>#REF!</v>
      </c>
      <c r="G32" s="102" t="e">
        <f>(#REF!-#REF!-#REF!)/1.2/1.03</f>
        <v>#REF!</v>
      </c>
    </row>
    <row r="33" spans="1:7" ht="16.5" thickBot="1" x14ac:dyDescent="0.3">
      <c r="A33" s="104" t="s">
        <v>253</v>
      </c>
      <c r="B33" s="23">
        <f>18494.64*1.1194</f>
        <v>20702.900016</v>
      </c>
      <c r="C33" s="96"/>
      <c r="D33" s="95">
        <v>19239.71</v>
      </c>
      <c r="E33" s="77"/>
      <c r="F33" s="77"/>
      <c r="G33" s="77"/>
    </row>
    <row r="34" spans="1:7" ht="16.5" hidden="1" thickBot="1" x14ac:dyDescent="0.3">
      <c r="A34" s="104" t="s">
        <v>322</v>
      </c>
      <c r="B34" s="23"/>
      <c r="C34" s="90"/>
      <c r="D34" s="92">
        <v>0</v>
      </c>
      <c r="E34" s="77"/>
      <c r="F34" s="77"/>
      <c r="G34" s="77"/>
    </row>
    <row r="35" spans="1:7" ht="16.5" hidden="1" thickBot="1" x14ac:dyDescent="0.3">
      <c r="A35" s="104" t="s">
        <v>256</v>
      </c>
      <c r="B35" s="23">
        <v>0</v>
      </c>
      <c r="C35" s="95"/>
      <c r="D35" s="92">
        <v>0</v>
      </c>
      <c r="E35" s="77"/>
      <c r="F35" s="77"/>
      <c r="G35" s="77"/>
    </row>
    <row r="36" spans="1:7" ht="16.5" hidden="1" thickBot="1" x14ac:dyDescent="0.3">
      <c r="A36" s="104" t="s">
        <v>255</v>
      </c>
      <c r="B36" s="23"/>
      <c r="C36" s="95" t="s">
        <v>234</v>
      </c>
      <c r="D36" s="92">
        <v>0</v>
      </c>
      <c r="E36" s="77"/>
      <c r="F36" s="77"/>
      <c r="G36" s="77"/>
    </row>
    <row r="37" spans="1:7" ht="16.5" hidden="1" thickBot="1" x14ac:dyDescent="0.3">
      <c r="A37" s="104" t="s">
        <v>257</v>
      </c>
      <c r="B37" s="23">
        <v>0</v>
      </c>
      <c r="C37" s="95"/>
      <c r="D37" s="92">
        <v>0</v>
      </c>
      <c r="E37" s="77"/>
      <c r="F37" s="77"/>
      <c r="G37" s="77"/>
    </row>
    <row r="38" spans="1:7" ht="16.5" hidden="1" thickBot="1" x14ac:dyDescent="0.3">
      <c r="A38" s="104" t="s">
        <v>258</v>
      </c>
      <c r="B38" s="23">
        <v>0</v>
      </c>
      <c r="C38" s="95"/>
      <c r="D38" s="92">
        <v>0</v>
      </c>
      <c r="E38" s="77"/>
      <c r="F38" s="77"/>
      <c r="G38" s="77"/>
    </row>
    <row r="39" spans="1:7" ht="16.5" hidden="1" thickBot="1" x14ac:dyDescent="0.3">
      <c r="A39" s="104" t="s">
        <v>324</v>
      </c>
      <c r="B39" s="23">
        <v>0</v>
      </c>
      <c r="C39" s="95"/>
      <c r="D39" s="92">
        <v>0</v>
      </c>
      <c r="E39" s="77"/>
      <c r="F39" s="77"/>
      <c r="G39" s="77"/>
    </row>
    <row r="40" spans="1:7" ht="16.5" hidden="1" thickBot="1" x14ac:dyDescent="0.3">
      <c r="A40" s="104" t="s">
        <v>312</v>
      </c>
      <c r="B40" s="23">
        <v>0</v>
      </c>
      <c r="C40" s="95"/>
      <c r="D40" s="92"/>
      <c r="E40" s="77"/>
      <c r="F40" s="77"/>
      <c r="G40" s="77"/>
    </row>
    <row r="41" spans="1:7" ht="16.5" hidden="1" thickBot="1" x14ac:dyDescent="0.3">
      <c r="A41" s="104" t="s">
        <v>342</v>
      </c>
      <c r="B41" s="23">
        <v>0</v>
      </c>
      <c r="C41" s="93"/>
      <c r="D41" s="92"/>
      <c r="E41" s="77"/>
      <c r="F41" s="77"/>
      <c r="G41" s="77"/>
    </row>
    <row r="42" spans="1:7" s="103" customFormat="1" ht="48" thickBot="1" x14ac:dyDescent="0.3">
      <c r="A42" s="101" t="s">
        <v>325</v>
      </c>
      <c r="B42" s="208">
        <f>SUM(B43:B45)</f>
        <v>13671.811469362903</v>
      </c>
      <c r="C42" s="89"/>
      <c r="D42" s="95"/>
      <c r="E42" s="102"/>
      <c r="F42" s="102"/>
      <c r="G42" s="102"/>
    </row>
    <row r="43" spans="1:7" ht="15.75" x14ac:dyDescent="0.25">
      <c r="A43" s="104" t="s">
        <v>262</v>
      </c>
      <c r="B43" s="23">
        <v>1297.1099999999999</v>
      </c>
      <c r="C43" s="98"/>
      <c r="D43" s="108"/>
      <c r="E43" s="77"/>
      <c r="F43" s="77"/>
      <c r="G43" s="77"/>
    </row>
    <row r="44" spans="1:7" ht="15.75" hidden="1" x14ac:dyDescent="0.25">
      <c r="A44" s="104" t="s">
        <v>263</v>
      </c>
      <c r="B44" s="23"/>
      <c r="C44" s="93"/>
      <c r="D44" s="108"/>
      <c r="E44" s="77"/>
      <c r="F44" s="77"/>
      <c r="G44" s="77"/>
    </row>
    <row r="45" spans="1:7" ht="16.5" thickBot="1" x14ac:dyDescent="0.3">
      <c r="A45" s="109" t="s">
        <v>264</v>
      </c>
      <c r="B45" s="23">
        <f>('[3]34тарифы'!D163*B15+130.81)*1.1194</f>
        <v>12374.701469362903</v>
      </c>
      <c r="C45" s="93"/>
      <c r="D45" s="108"/>
      <c r="E45" s="77"/>
      <c r="F45" s="77"/>
      <c r="G45" s="77"/>
    </row>
    <row r="46" spans="1:7" s="79" customFormat="1" ht="16.5" thickBot="1" x14ac:dyDescent="0.3">
      <c r="A46" s="101" t="s">
        <v>265</v>
      </c>
      <c r="B46" s="208">
        <f>SUM(B47:B65)</f>
        <v>15845.61</v>
      </c>
      <c r="C46" s="89"/>
      <c r="D46" s="95"/>
    </row>
    <row r="47" spans="1:7" ht="15.75" hidden="1" x14ac:dyDescent="0.25">
      <c r="A47" s="104" t="s">
        <v>326</v>
      </c>
      <c r="B47" s="23">
        <v>0</v>
      </c>
      <c r="C47" s="90"/>
      <c r="D47" s="92"/>
      <c r="E47" s="77" t="s">
        <v>267</v>
      </c>
      <c r="F47" s="77"/>
      <c r="G47" s="77"/>
    </row>
    <row r="48" spans="1:7" ht="15.75" x14ac:dyDescent="0.25">
      <c r="A48" s="104" t="s">
        <v>317</v>
      </c>
      <c r="B48" s="23">
        <v>0</v>
      </c>
      <c r="C48" s="95"/>
      <c r="D48" s="92"/>
      <c r="E48" s="77" t="s">
        <v>269</v>
      </c>
      <c r="F48" s="77"/>
      <c r="G48" s="77"/>
    </row>
    <row r="49" spans="1:5" ht="15.75" x14ac:dyDescent="0.25">
      <c r="A49" s="110" t="s">
        <v>282</v>
      </c>
      <c r="B49" s="23">
        <v>105.08</v>
      </c>
      <c r="C49" s="95"/>
      <c r="D49" s="92"/>
      <c r="E49" s="77"/>
    </row>
    <row r="50" spans="1:5" ht="15.75" hidden="1" x14ac:dyDescent="0.25">
      <c r="A50" s="110" t="s">
        <v>271</v>
      </c>
      <c r="B50" s="23">
        <v>0</v>
      </c>
      <c r="C50" s="95"/>
      <c r="D50" s="92">
        <v>4190</v>
      </c>
      <c r="E50" s="77"/>
    </row>
    <row r="51" spans="1:5" ht="15.75" hidden="1" x14ac:dyDescent="0.25">
      <c r="A51" s="110" t="s">
        <v>272</v>
      </c>
      <c r="B51" s="23">
        <v>0</v>
      </c>
      <c r="C51" s="95"/>
      <c r="D51" s="92"/>
      <c r="E51" s="77"/>
    </row>
    <row r="52" spans="1:5" ht="15.75" hidden="1" x14ac:dyDescent="0.25">
      <c r="A52" s="110" t="s">
        <v>273</v>
      </c>
      <c r="B52" s="23">
        <f>B21*'[3]34тарифы'!D177</f>
        <v>0</v>
      </c>
      <c r="C52" s="95"/>
      <c r="D52" s="92">
        <v>105.14</v>
      </c>
      <c r="E52" s="77"/>
    </row>
    <row r="53" spans="1:5" ht="15.75" hidden="1" x14ac:dyDescent="0.25">
      <c r="A53" s="110" t="s">
        <v>274</v>
      </c>
      <c r="B53" s="23">
        <v>0</v>
      </c>
      <c r="C53" s="95">
        <v>0</v>
      </c>
      <c r="D53" s="92">
        <v>522.99</v>
      </c>
      <c r="E53" s="77"/>
    </row>
    <row r="54" spans="1:5" ht="15.75" hidden="1" x14ac:dyDescent="0.25">
      <c r="A54" s="110" t="s">
        <v>275</v>
      </c>
      <c r="B54" s="23">
        <v>0</v>
      </c>
      <c r="C54" s="95">
        <v>0</v>
      </c>
      <c r="D54" s="111">
        <v>695.13</v>
      </c>
      <c r="E54" s="77"/>
    </row>
    <row r="55" spans="1:5" ht="15.75" hidden="1" x14ac:dyDescent="0.25">
      <c r="A55" s="110" t="s">
        <v>276</v>
      </c>
      <c r="B55" s="23">
        <v>0</v>
      </c>
      <c r="C55" s="95"/>
      <c r="D55" s="111"/>
      <c r="E55" s="77"/>
    </row>
    <row r="56" spans="1:5" ht="15.75" hidden="1" x14ac:dyDescent="0.25">
      <c r="A56" s="110" t="s">
        <v>277</v>
      </c>
      <c r="B56" s="23">
        <v>0</v>
      </c>
      <c r="C56" s="95">
        <v>0</v>
      </c>
      <c r="D56" s="92">
        <f>10695.76/1.18</f>
        <v>9064.203389830509</v>
      </c>
      <c r="E56" s="77"/>
    </row>
    <row r="57" spans="1:5" ht="15.75" hidden="1" x14ac:dyDescent="0.25">
      <c r="A57" s="110" t="s">
        <v>314</v>
      </c>
      <c r="B57" s="23">
        <v>0</v>
      </c>
      <c r="C57" s="95">
        <v>0</v>
      </c>
      <c r="D57" s="92">
        <f>2300/1.18</f>
        <v>1949.1525423728815</v>
      </c>
      <c r="E57" s="77"/>
    </row>
    <row r="58" spans="1:5" ht="15.75" x14ac:dyDescent="0.25">
      <c r="A58" s="110" t="s">
        <v>316</v>
      </c>
      <c r="B58" s="23">
        <v>0</v>
      </c>
      <c r="C58" s="93">
        <v>0</v>
      </c>
      <c r="D58" s="92">
        <v>0</v>
      </c>
      <c r="E58" s="77"/>
    </row>
    <row r="59" spans="1:5" ht="16.5" hidden="1" thickBot="1" x14ac:dyDescent="0.3">
      <c r="A59" s="110" t="s">
        <v>279</v>
      </c>
      <c r="B59" s="23">
        <f>B13*'[3]34тарифы'!D184</f>
        <v>0</v>
      </c>
      <c r="C59" s="89"/>
      <c r="D59" s="95"/>
      <c r="E59" s="77"/>
    </row>
    <row r="60" spans="1:5" ht="15.75" hidden="1" x14ac:dyDescent="0.25">
      <c r="A60" s="104" t="s">
        <v>280</v>
      </c>
      <c r="B60" s="23">
        <v>0</v>
      </c>
      <c r="C60" s="90"/>
      <c r="D60" s="92"/>
      <c r="E60" s="77"/>
    </row>
    <row r="61" spans="1:5" ht="15.75" hidden="1" x14ac:dyDescent="0.25">
      <c r="A61" s="104" t="s">
        <v>281</v>
      </c>
      <c r="B61" s="23">
        <v>0</v>
      </c>
      <c r="C61" s="95"/>
      <c r="D61" s="92">
        <v>0</v>
      </c>
      <c r="E61" s="77"/>
    </row>
    <row r="62" spans="1:5" ht="15.75" hidden="1" x14ac:dyDescent="0.25">
      <c r="A62" s="104" t="s">
        <v>340</v>
      </c>
      <c r="B62" s="23">
        <v>0</v>
      </c>
      <c r="C62" s="95"/>
      <c r="D62" s="92">
        <v>0</v>
      </c>
      <c r="E62" s="77"/>
    </row>
    <row r="63" spans="1:5" ht="16.5" thickBot="1" x14ac:dyDescent="0.3">
      <c r="A63" s="104" t="s">
        <v>341</v>
      </c>
      <c r="B63" s="283">
        <v>15740.53</v>
      </c>
      <c r="C63" s="113">
        <v>1</v>
      </c>
      <c r="D63" s="92">
        <v>0</v>
      </c>
      <c r="E63" s="77"/>
    </row>
    <row r="64" spans="1:5" ht="16.5" hidden="1" thickBot="1" x14ac:dyDescent="0.3">
      <c r="A64" s="104" t="s">
        <v>284</v>
      </c>
      <c r="B64" s="229">
        <v>0</v>
      </c>
      <c r="C64" s="114">
        <v>48</v>
      </c>
      <c r="D64" s="95">
        <v>2</v>
      </c>
      <c r="E64" s="77">
        <v>1</v>
      </c>
    </row>
    <row r="65" spans="1:4" s="79" customFormat="1" ht="16.5" hidden="1" thickBot="1" x14ac:dyDescent="0.3">
      <c r="A65" s="104" t="s">
        <v>285</v>
      </c>
      <c r="B65" s="229">
        <v>0</v>
      </c>
      <c r="C65" s="115"/>
      <c r="D65" s="108">
        <v>0</v>
      </c>
    </row>
    <row r="66" spans="1:4" ht="16.5" thickBot="1" x14ac:dyDescent="0.3">
      <c r="A66" s="116" t="s">
        <v>286</v>
      </c>
      <c r="B66" s="208">
        <f>SUM(B67:B74)</f>
        <v>133455.74779071275</v>
      </c>
      <c r="C66" s="89"/>
      <c r="D66" s="93"/>
    </row>
    <row r="67" spans="1:4" ht="16.5" hidden="1" thickBot="1" x14ac:dyDescent="0.3">
      <c r="A67" s="104" t="s">
        <v>287</v>
      </c>
      <c r="B67" s="23">
        <v>0</v>
      </c>
      <c r="C67" s="98"/>
      <c r="D67" s="108"/>
    </row>
    <row r="68" spans="1:4" ht="16.5" thickBot="1" x14ac:dyDescent="0.3">
      <c r="A68" s="104" t="s">
        <v>288</v>
      </c>
      <c r="B68" s="23">
        <f>42021.86*1.04*1.1194</f>
        <v>48920.840887359998</v>
      </c>
      <c r="C68" s="89"/>
      <c r="D68" s="93"/>
    </row>
    <row r="69" spans="1:4" ht="15.75" hidden="1" x14ac:dyDescent="0.25">
      <c r="A69" s="104" t="s">
        <v>289</v>
      </c>
      <c r="B69" s="23">
        <v>0</v>
      </c>
      <c r="C69" s="98"/>
      <c r="D69" s="108"/>
    </row>
    <row r="70" spans="1:4" ht="16.5" thickBot="1" x14ac:dyDescent="0.3">
      <c r="A70" s="109" t="s">
        <v>290</v>
      </c>
      <c r="B70" s="23">
        <f>'[3]34тарифы'!D164*B13*1.1194</f>
        <v>2541.0269211574305</v>
      </c>
      <c r="C70" s="93"/>
      <c r="D70" s="108"/>
    </row>
    <row r="71" spans="1:4" ht="15.75" x14ac:dyDescent="0.25">
      <c r="A71" s="109" t="s">
        <v>291</v>
      </c>
      <c r="B71" s="23">
        <f>VLOOKUP(A71,[2]Лист1!S$1:T$65536,2,FALSE)*B15</f>
        <v>9522.6790535443433</v>
      </c>
      <c r="C71" s="117"/>
      <c r="D71" s="93"/>
    </row>
    <row r="72" spans="1:4" ht="15.75" x14ac:dyDescent="0.25">
      <c r="A72" s="109" t="s">
        <v>292</v>
      </c>
      <c r="B72" s="23">
        <f>VLOOKUP(A72,[2]Лист1!S$1:T$65536,2,FALSE)*B15</f>
        <v>33241.962256650957</v>
      </c>
      <c r="C72" s="108"/>
      <c r="D72" s="93"/>
    </row>
    <row r="73" spans="1:4" ht="15.75" x14ac:dyDescent="0.25">
      <c r="A73" s="41" t="s">
        <v>293</v>
      </c>
      <c r="B73" s="23">
        <f>3568*1.04*1.1194</f>
        <v>4153.7799679999998</v>
      </c>
      <c r="C73" s="108"/>
      <c r="D73" s="93"/>
    </row>
    <row r="74" spans="1:4" ht="15.75" x14ac:dyDescent="0.25">
      <c r="A74" s="109" t="s">
        <v>294</v>
      </c>
      <c r="B74" s="23">
        <f>30129*1.04*1.1194</f>
        <v>35075.458703999997</v>
      </c>
      <c r="C74" s="108"/>
      <c r="D74" s="93"/>
    </row>
    <row r="75" spans="1:4" ht="47.25" x14ac:dyDescent="0.25">
      <c r="A75" s="118" t="s">
        <v>328</v>
      </c>
      <c r="B75" s="208">
        <f>SUM(B76:B76)</f>
        <v>70035.072162392244</v>
      </c>
      <c r="C75" s="108"/>
      <c r="D75" s="93"/>
    </row>
    <row r="76" spans="1:4" s="79" customFormat="1" ht="15.75" x14ac:dyDescent="0.25">
      <c r="A76" s="109" t="s">
        <v>296</v>
      </c>
      <c r="B76" s="23">
        <f>'[3]34ОЭР'!D196*1.1194</f>
        <v>70035.072162392244</v>
      </c>
      <c r="C76" s="108"/>
      <c r="D76" s="93"/>
    </row>
    <row r="77" spans="1:4" ht="15.75" x14ac:dyDescent="0.25">
      <c r="A77" s="116" t="s">
        <v>297</v>
      </c>
      <c r="B77" s="208">
        <f>SUM(B78:B81)</f>
        <v>55851.919059489141</v>
      </c>
      <c r="C77" s="108"/>
      <c r="D77" s="93"/>
    </row>
    <row r="78" spans="1:4" ht="32.25" thickBot="1" x14ac:dyDescent="0.3">
      <c r="A78" s="119" t="s">
        <v>329</v>
      </c>
      <c r="B78" s="23">
        <f>35000*1.1194</f>
        <v>39179</v>
      </c>
      <c r="C78" s="96"/>
      <c r="D78" s="93"/>
    </row>
    <row r="79" spans="1:4" ht="16.5" hidden="1" thickBot="1" x14ac:dyDescent="0.3">
      <c r="A79" s="51" t="s">
        <v>299</v>
      </c>
      <c r="B79" s="23">
        <f>(B26/1.2)*30%</f>
        <v>0</v>
      </c>
      <c r="C79" s="98"/>
      <c r="D79" s="108"/>
    </row>
    <row r="80" spans="1:4" ht="15.75" x14ac:dyDescent="0.25">
      <c r="A80" s="120" t="s">
        <v>330</v>
      </c>
      <c r="B80" s="23">
        <f>6215.2+5934.05</f>
        <v>12149.25</v>
      </c>
      <c r="C80" s="117"/>
      <c r="D80" s="93"/>
    </row>
    <row r="81" spans="1:4" ht="15.75" x14ac:dyDescent="0.25">
      <c r="A81" s="120" t="s">
        <v>331</v>
      </c>
      <c r="B81" s="23">
        <f>'[3]34тарифы'!D173*B13*1.1194</f>
        <v>4523.6690594891388</v>
      </c>
      <c r="C81" s="108"/>
      <c r="D81" s="93"/>
    </row>
    <row r="82" spans="1:4" ht="15.75" x14ac:dyDescent="0.25">
      <c r="A82" s="121" t="s">
        <v>302</v>
      </c>
      <c r="B82" s="28">
        <f>B32+B42+B46+B66+B75+B77</f>
        <v>309563.06049795705</v>
      </c>
      <c r="C82" s="108"/>
      <c r="D82" s="93"/>
    </row>
    <row r="83" spans="1:4" s="103" customFormat="1" ht="15.75" x14ac:dyDescent="0.25">
      <c r="A83" s="122" t="s">
        <v>303</v>
      </c>
      <c r="B83" s="23">
        <f>B82*0.03</f>
        <v>9286.8918149387118</v>
      </c>
      <c r="C83" s="108"/>
      <c r="D83" s="93"/>
    </row>
    <row r="84" spans="1:4" ht="15.75" x14ac:dyDescent="0.25">
      <c r="A84" s="123" t="s">
        <v>304</v>
      </c>
      <c r="B84" s="208">
        <f>B82+B83</f>
        <v>318849.95231289574</v>
      </c>
      <c r="C84" s="108"/>
      <c r="D84" s="93"/>
    </row>
    <row r="85" spans="1:4" s="79" customFormat="1" ht="16.5" thickBot="1" x14ac:dyDescent="0.3">
      <c r="A85" s="124" t="s">
        <v>305</v>
      </c>
      <c r="B85" s="240">
        <f>B84*0.2</f>
        <v>63769.990462579153</v>
      </c>
      <c r="C85" s="108"/>
      <c r="D85" s="93"/>
    </row>
    <row r="86" spans="1:4" s="79" customFormat="1" ht="16.5" thickBot="1" x14ac:dyDescent="0.3">
      <c r="A86" s="125" t="s">
        <v>306</v>
      </c>
      <c r="B86" s="66">
        <f>B84+B85</f>
        <v>382619.94277547486</v>
      </c>
      <c r="C86" s="89"/>
      <c r="D86" s="126"/>
    </row>
    <row r="87" spans="1:4" s="79" customFormat="1" ht="16.5" thickBot="1" x14ac:dyDescent="0.3">
      <c r="A87" s="127" t="s">
        <v>307</v>
      </c>
      <c r="B87" s="296">
        <f>B10+B24+B26+B28+B29-B86</f>
        <v>370012.20722452516</v>
      </c>
      <c r="C87" s="128"/>
      <c r="D87" s="129"/>
    </row>
    <row r="88" spans="1:4" s="79" customFormat="1" ht="16.5" thickBot="1" x14ac:dyDescent="0.3">
      <c r="A88" s="130" t="s">
        <v>308</v>
      </c>
      <c r="B88" s="66">
        <f>B10+B25+B27+B28+B29-B86</f>
        <v>377497.69722452515</v>
      </c>
      <c r="C88" s="131"/>
      <c r="D88" s="129"/>
    </row>
    <row r="89" spans="1:4" s="79" customFormat="1" ht="16.5" hidden="1" thickBot="1" x14ac:dyDescent="0.3">
      <c r="A89" s="132" t="s">
        <v>309</v>
      </c>
      <c r="B89" s="66">
        <f>B11+B24-B25</f>
        <v>-7485.4900000000489</v>
      </c>
      <c r="C89" s="129"/>
      <c r="D89" s="129"/>
    </row>
    <row r="90" spans="1:4" ht="15.75" hidden="1" x14ac:dyDescent="0.25">
      <c r="A90" s="133"/>
      <c r="B90" s="242"/>
      <c r="C90" s="129"/>
      <c r="D90" s="129"/>
    </row>
    <row r="91" spans="1:4" ht="15.75" x14ac:dyDescent="0.25">
      <c r="A91" s="134"/>
      <c r="B91" s="3"/>
      <c r="C91" s="77"/>
      <c r="D91" s="77"/>
    </row>
    <row r="92" spans="1:4" ht="15.75" x14ac:dyDescent="0.25">
      <c r="A92" s="323" t="s">
        <v>332</v>
      </c>
      <c r="B92" s="323"/>
      <c r="C92" s="77"/>
      <c r="D92" s="77"/>
    </row>
    <row r="93" spans="1:4" ht="15.75" x14ac:dyDescent="0.25">
      <c r="A93" s="134"/>
      <c r="B93" s="3"/>
      <c r="C93" s="77"/>
      <c r="D93" s="77"/>
    </row>
    <row r="94" spans="1:4" ht="15.75" x14ac:dyDescent="0.25">
      <c r="A94" s="134"/>
      <c r="B94" s="3"/>
      <c r="C94" s="77"/>
      <c r="D94" s="77"/>
    </row>
    <row r="95" spans="1:4" ht="15.75" hidden="1" x14ac:dyDescent="0.25">
      <c r="A95" s="324" t="s">
        <v>333</v>
      </c>
      <c r="B95" s="324"/>
      <c r="C95" s="135"/>
      <c r="D95" s="77"/>
    </row>
    <row r="96" spans="1:4" ht="15.75" x14ac:dyDescent="0.25">
      <c r="A96" s="77"/>
      <c r="B96" s="3"/>
      <c r="C96" s="77"/>
      <c r="D96" s="77"/>
    </row>
  </sheetData>
  <autoFilter ref="A31:G90" xr:uid="{00000000-0009-0000-0000-00004B000000}">
    <filterColumn colId="1">
      <filters>
        <filter val="1 297,11"/>
        <filter val="12 374,70"/>
        <filter val="13 671,81"/>
        <filter val="133 455,75"/>
        <filter val="14 783,52"/>
        <filter val="15 653,38"/>
        <filter val="2 541,03"/>
        <filter val="20 702,90"/>
        <filter val="21 100,44"/>
        <filter val="317 452,16"/>
        <filter val="326 975,73"/>
        <filter val="33 241,96"/>
        <filter val="339 679,45"/>
        <filter val="347 164,94"/>
        <filter val="35 075,46"/>
        <filter val="39 179,00"/>
        <filter val="392 370,87"/>
        <filter val="4 153,78"/>
        <filter val="4 523,67"/>
        <filter val="4 702,55"/>
        <filter val="48 920,84"/>
        <filter val="58 486,19"/>
        <filter val="65 395,15"/>
        <filter val="656,51"/>
        <filter val="-7 485,49"/>
        <filter val="70 035,07"/>
        <filter val="88,00"/>
        <filter val="9 522,68"/>
        <filter val="9 523,56"/>
      </filters>
    </filterColumn>
  </autoFilter>
  <mergeCells count="9">
    <mergeCell ref="D8:D9"/>
    <mergeCell ref="A92:B92"/>
    <mergeCell ref="A95:B95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85"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 filterMode="1">
    <pageSetUpPr fitToPage="1"/>
  </sheetPr>
  <dimension ref="A1:G95"/>
  <sheetViews>
    <sheetView view="pageBreakPreview" topLeftCell="A36" zoomScale="80" zoomScaleNormal="100" zoomScaleSheetLayoutView="80" workbookViewId="0">
      <selection activeCell="B81" sqref="B81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25" t="s">
        <v>224</v>
      </c>
      <c r="B1" s="325"/>
      <c r="C1" s="77"/>
      <c r="D1" s="77"/>
    </row>
    <row r="2" spans="1:4" ht="16.5" x14ac:dyDescent="0.25">
      <c r="A2" s="326" t="s">
        <v>225</v>
      </c>
      <c r="B2" s="326"/>
      <c r="C2" s="77"/>
      <c r="D2" s="77"/>
    </row>
    <row r="3" spans="1:4" ht="16.5" x14ac:dyDescent="0.25">
      <c r="A3" s="326" t="s">
        <v>226</v>
      </c>
      <c r="B3" s="326"/>
      <c r="C3" s="77"/>
      <c r="D3" s="77"/>
    </row>
    <row r="4" spans="1:4" ht="15.75" x14ac:dyDescent="0.25">
      <c r="A4" s="78" t="s">
        <v>516</v>
      </c>
      <c r="B4" s="78"/>
      <c r="C4" s="77"/>
      <c r="D4" s="77"/>
    </row>
    <row r="5" spans="1:4" ht="15.75" x14ac:dyDescent="0.25">
      <c r="A5" s="78" t="s">
        <v>171</v>
      </c>
      <c r="B5" s="78"/>
      <c r="C5" s="77"/>
      <c r="D5" s="77"/>
    </row>
    <row r="6" spans="1:4" ht="5.25" customHeight="1" x14ac:dyDescent="0.25">
      <c r="A6" s="78"/>
      <c r="B6" s="8"/>
      <c r="C6" s="79"/>
      <c r="D6" s="77"/>
    </row>
    <row r="7" spans="1:4" ht="16.5" thickBot="1" x14ac:dyDescent="0.3">
      <c r="A7" s="80"/>
      <c r="B7" s="8"/>
      <c r="C7" s="79"/>
      <c r="D7" s="77"/>
    </row>
    <row r="8" spans="1:4" ht="15.75" customHeight="1" x14ac:dyDescent="0.2">
      <c r="A8" s="327" t="s">
        <v>227</v>
      </c>
      <c r="B8" s="329" t="s">
        <v>228</v>
      </c>
      <c r="C8" s="331" t="s">
        <v>229</v>
      </c>
      <c r="D8" s="321" t="s">
        <v>230</v>
      </c>
    </row>
    <row r="9" spans="1:4" ht="28.5" customHeight="1" thickBot="1" x14ac:dyDescent="0.25">
      <c r="A9" s="328"/>
      <c r="B9" s="330"/>
      <c r="C9" s="332"/>
      <c r="D9" s="322"/>
    </row>
    <row r="10" spans="1:4" ht="16.5" thickBot="1" x14ac:dyDescent="0.25">
      <c r="A10" s="81" t="s">
        <v>231</v>
      </c>
      <c r="B10" s="302">
        <f>VLOOKUP(A5,мкд!S:T,2,FALSE)</f>
        <v>58945.919999999998</v>
      </c>
      <c r="C10" s="83"/>
      <c r="D10" s="84"/>
    </row>
    <row r="11" spans="1:4" ht="16.5" hidden="1" thickBot="1" x14ac:dyDescent="0.25">
      <c r="A11" s="85" t="s">
        <v>232</v>
      </c>
      <c r="B11" s="210"/>
      <c r="C11" s="84"/>
      <c r="D11" s="86"/>
    </row>
    <row r="12" spans="1:4" ht="16.5" thickBot="1" x14ac:dyDescent="0.3">
      <c r="A12" s="87" t="s">
        <v>233</v>
      </c>
      <c r="B12" s="217"/>
      <c r="C12" s="89" t="s">
        <v>234</v>
      </c>
      <c r="D12" s="90" t="s">
        <v>234</v>
      </c>
    </row>
    <row r="13" spans="1:4" ht="16.5" hidden="1" thickBot="1" x14ac:dyDescent="0.3">
      <c r="A13" s="91" t="s">
        <v>235</v>
      </c>
      <c r="B13" s="23">
        <v>2051.9</v>
      </c>
      <c r="C13" s="90" t="s">
        <v>234</v>
      </c>
      <c r="D13" s="92" t="s">
        <v>234</v>
      </c>
    </row>
    <row r="14" spans="1:4" ht="16.5" hidden="1" thickBot="1" x14ac:dyDescent="0.3">
      <c r="A14" s="91" t="s">
        <v>236</v>
      </c>
      <c r="B14" s="23">
        <v>0</v>
      </c>
      <c r="C14" s="93"/>
      <c r="D14" s="92"/>
    </row>
    <row r="15" spans="1:4" ht="15.75" x14ac:dyDescent="0.25">
      <c r="A15" s="91" t="s">
        <v>237</v>
      </c>
      <c r="B15" s="23">
        <f>B13+B14</f>
        <v>2051.9</v>
      </c>
      <c r="C15" s="94"/>
      <c r="D15" s="95"/>
    </row>
    <row r="16" spans="1:4" ht="16.5" thickBot="1" x14ac:dyDescent="0.3">
      <c r="A16" s="91" t="s">
        <v>238</v>
      </c>
      <c r="B16" s="23">
        <f>588.5+2391/3</f>
        <v>1385.5</v>
      </c>
      <c r="C16" s="96" t="s">
        <v>234</v>
      </c>
      <c r="D16" s="95" t="s">
        <v>234</v>
      </c>
    </row>
    <row r="17" spans="1:7" ht="16.5" hidden="1" thickBot="1" x14ac:dyDescent="0.3">
      <c r="A17" s="91" t="s">
        <v>239</v>
      </c>
      <c r="B17" s="23">
        <v>0</v>
      </c>
      <c r="C17" s="90" t="s">
        <v>234</v>
      </c>
      <c r="D17" s="92" t="s">
        <v>234</v>
      </c>
      <c r="E17" s="77"/>
      <c r="F17" s="77"/>
      <c r="G17" s="77"/>
    </row>
    <row r="18" spans="1:7" ht="16.5" hidden="1" thickBot="1" x14ac:dyDescent="0.3">
      <c r="A18" s="91" t="s">
        <v>240</v>
      </c>
      <c r="B18" s="23">
        <v>0</v>
      </c>
      <c r="C18" s="95" t="s">
        <v>234</v>
      </c>
      <c r="D18" s="92" t="s">
        <v>234</v>
      </c>
      <c r="E18" s="77"/>
      <c r="F18" s="77"/>
      <c r="G18" s="77"/>
    </row>
    <row r="19" spans="1:7" ht="16.5" hidden="1" thickBot="1" x14ac:dyDescent="0.3">
      <c r="A19" s="91" t="s">
        <v>241</v>
      </c>
      <c r="B19" s="23">
        <v>0</v>
      </c>
      <c r="C19" s="95" t="s">
        <v>234</v>
      </c>
      <c r="D19" s="92" t="s">
        <v>234</v>
      </c>
      <c r="E19" s="77"/>
      <c r="F19" s="77"/>
      <c r="G19" s="77"/>
    </row>
    <row r="20" spans="1:7" ht="16.5" hidden="1" thickBot="1" x14ac:dyDescent="0.3">
      <c r="A20" s="91" t="s">
        <v>242</v>
      </c>
      <c r="B20" s="23">
        <v>825.9</v>
      </c>
      <c r="C20" s="95"/>
      <c r="D20" s="92"/>
      <c r="E20" s="77"/>
      <c r="F20" s="77"/>
      <c r="G20" s="77"/>
    </row>
    <row r="21" spans="1:7" ht="16.5" hidden="1" thickBot="1" x14ac:dyDescent="0.3">
      <c r="A21" s="91" t="s">
        <v>243</v>
      </c>
      <c r="B21" s="23">
        <v>0</v>
      </c>
      <c r="C21" s="95" t="s">
        <v>234</v>
      </c>
      <c r="D21" s="92" t="s">
        <v>234</v>
      </c>
      <c r="E21" s="77"/>
      <c r="F21" s="77"/>
      <c r="G21" s="77"/>
    </row>
    <row r="22" spans="1:7" ht="16.5" hidden="1" thickBot="1" x14ac:dyDescent="0.3">
      <c r="A22" s="91" t="s">
        <v>244</v>
      </c>
      <c r="B22" s="23">
        <v>114</v>
      </c>
      <c r="C22" s="93"/>
      <c r="D22" s="92"/>
      <c r="E22" s="77"/>
      <c r="F22" s="77"/>
      <c r="G22" s="77"/>
    </row>
    <row r="23" spans="1:7" ht="15.75" x14ac:dyDescent="0.25">
      <c r="A23" s="91"/>
      <c r="B23" s="23"/>
      <c r="C23" s="94"/>
      <c r="D23" s="95"/>
      <c r="E23" s="77">
        <v>10</v>
      </c>
      <c r="F23" s="77">
        <v>2</v>
      </c>
      <c r="G23" s="77"/>
    </row>
    <row r="24" spans="1:7" ht="15.75" x14ac:dyDescent="0.25">
      <c r="A24" s="97" t="s">
        <v>319</v>
      </c>
      <c r="B24" s="28">
        <f>VLOOKUP(A5,[2]Лист1!M$1:N$65536,2,FALSE)</f>
        <v>387597.88</v>
      </c>
      <c r="C24" s="92"/>
      <c r="D24" s="95"/>
      <c r="E24" s="26">
        <v>15.48</v>
      </c>
      <c r="F24" s="256">
        <v>17.328312</v>
      </c>
      <c r="G24" s="77"/>
    </row>
    <row r="25" spans="1:7" ht="16.5" thickBot="1" x14ac:dyDescent="0.3">
      <c r="A25" s="97" t="s">
        <v>320</v>
      </c>
      <c r="B25" s="28">
        <f>VLOOKUP(A5,[2]Лист1!M$1:O$65536,3,FALSE)</f>
        <v>401397.9</v>
      </c>
      <c r="C25" s="96"/>
      <c r="D25" s="95"/>
      <c r="E25" s="77"/>
      <c r="F25" s="77"/>
      <c r="G25" s="77"/>
    </row>
    <row r="26" spans="1:7" ht="16.5" hidden="1" thickBot="1" x14ac:dyDescent="0.3">
      <c r="A26" s="97" t="s">
        <v>321</v>
      </c>
      <c r="B26" s="28"/>
      <c r="C26" s="90"/>
      <c r="D26" s="92"/>
      <c r="E26" s="77"/>
      <c r="F26" s="77"/>
      <c r="G26" s="77"/>
    </row>
    <row r="27" spans="1:7" ht="16.5" hidden="1" thickBot="1" x14ac:dyDescent="0.3">
      <c r="A27" s="97" t="s">
        <v>248</v>
      </c>
      <c r="B27" s="28">
        <f>B26</f>
        <v>0</v>
      </c>
      <c r="C27" s="93"/>
      <c r="D27" s="92"/>
      <c r="E27" s="77"/>
      <c r="F27" s="77"/>
      <c r="G27" s="77"/>
    </row>
    <row r="28" spans="1:7" ht="16.5" thickBot="1" x14ac:dyDescent="0.3">
      <c r="A28" s="97" t="s">
        <v>249</v>
      </c>
      <c r="B28" s="28">
        <v>7611.96</v>
      </c>
      <c r="C28" s="89"/>
      <c r="D28" s="95"/>
      <c r="E28" s="77"/>
      <c r="F28" s="77"/>
      <c r="G28" s="77"/>
    </row>
    <row r="29" spans="1:7" ht="16.5" hidden="1" thickBot="1" x14ac:dyDescent="0.3">
      <c r="A29" s="97" t="s">
        <v>250</v>
      </c>
      <c r="B29" s="28"/>
      <c r="C29" s="98"/>
      <c r="D29" s="92"/>
      <c r="E29" s="77"/>
      <c r="F29" s="77"/>
      <c r="G29" s="77"/>
    </row>
    <row r="30" spans="1:7" ht="15.75" x14ac:dyDescent="0.25">
      <c r="A30" s="99"/>
      <c r="B30" s="23"/>
      <c r="C30" s="94"/>
      <c r="D30" s="95"/>
      <c r="E30" s="77"/>
      <c r="F30" s="77"/>
      <c r="G30" s="77"/>
    </row>
    <row r="31" spans="1:7" ht="15.75" x14ac:dyDescent="0.25">
      <c r="A31" s="100" t="s">
        <v>251</v>
      </c>
      <c r="B31" s="23"/>
      <c r="C31" s="92"/>
      <c r="D31" s="95"/>
      <c r="E31" s="77"/>
      <c r="F31" s="77"/>
      <c r="G31" s="77"/>
    </row>
    <row r="32" spans="1:7" s="103" customFormat="1" ht="31.5" x14ac:dyDescent="0.25">
      <c r="A32" s="101" t="s">
        <v>252</v>
      </c>
      <c r="B32" s="208">
        <f>SUM(B33:B41)</f>
        <v>30741.17092228309</v>
      </c>
      <c r="C32" s="92"/>
      <c r="D32" s="95"/>
      <c r="E32" s="102">
        <f>(B86-B26-B24)/1.2/1.03</f>
        <v>39348.589922549749</v>
      </c>
      <c r="F32" s="102" t="e">
        <f>(#REF!-#REF!-#REF!)/1.2/1.03</f>
        <v>#REF!</v>
      </c>
      <c r="G32" s="102" t="e">
        <f>(#REF!-#REF!-#REF!)/1.2/1.03</f>
        <v>#REF!</v>
      </c>
    </row>
    <row r="33" spans="1:7" ht="16.5" thickBot="1" x14ac:dyDescent="0.3">
      <c r="A33" s="104" t="s">
        <v>253</v>
      </c>
      <c r="B33" s="23">
        <f>18494.64*1.1194</f>
        <v>20702.900016</v>
      </c>
      <c r="C33" s="96"/>
      <c r="D33" s="95">
        <v>20683.38</v>
      </c>
      <c r="E33" s="77"/>
      <c r="F33" s="77"/>
      <c r="G33" s="77"/>
    </row>
    <row r="34" spans="1:7" ht="15.75" hidden="1" x14ac:dyDescent="0.25">
      <c r="A34" s="104" t="s">
        <v>322</v>
      </c>
      <c r="B34" s="23">
        <v>0</v>
      </c>
      <c r="C34" s="90"/>
      <c r="D34" s="92">
        <v>0</v>
      </c>
      <c r="E34" s="77"/>
      <c r="F34" s="77"/>
      <c r="G34" s="77"/>
    </row>
    <row r="35" spans="1:7" ht="15.75" hidden="1" x14ac:dyDescent="0.25">
      <c r="A35" s="104" t="s">
        <v>256</v>
      </c>
      <c r="B35" s="23"/>
      <c r="C35" s="95"/>
      <c r="D35" s="92">
        <v>0</v>
      </c>
      <c r="E35" s="77"/>
      <c r="F35" s="77"/>
      <c r="G35" s="77"/>
    </row>
    <row r="36" spans="1:7" ht="15.75" x14ac:dyDescent="0.25">
      <c r="A36" s="104" t="s">
        <v>255</v>
      </c>
      <c r="B36" s="23">
        <v>6469.9109062830903</v>
      </c>
      <c r="C36" s="95" t="s">
        <v>234</v>
      </c>
      <c r="D36" s="92">
        <v>0</v>
      </c>
      <c r="E36" s="77"/>
      <c r="F36" s="77"/>
      <c r="G36" s="77"/>
    </row>
    <row r="37" spans="1:7" ht="16.5" thickBot="1" x14ac:dyDescent="0.3">
      <c r="A37" s="104" t="s">
        <v>257</v>
      </c>
      <c r="B37" s="23">
        <v>3568.36</v>
      </c>
      <c r="C37" s="95"/>
      <c r="D37" s="92">
        <v>0</v>
      </c>
      <c r="E37" s="77"/>
      <c r="F37" s="77"/>
      <c r="G37" s="77"/>
    </row>
    <row r="38" spans="1:7" ht="16.5" hidden="1" thickBot="1" x14ac:dyDescent="0.3">
      <c r="A38" s="104" t="s">
        <v>343</v>
      </c>
      <c r="B38" s="23">
        <v>0</v>
      </c>
      <c r="C38" s="95"/>
      <c r="D38" s="92">
        <v>0</v>
      </c>
      <c r="E38" s="77"/>
      <c r="F38" s="77"/>
      <c r="G38" s="77"/>
    </row>
    <row r="39" spans="1:7" ht="16.5" hidden="1" thickBot="1" x14ac:dyDescent="0.3">
      <c r="A39" s="104" t="s">
        <v>324</v>
      </c>
      <c r="B39" s="23">
        <v>0</v>
      </c>
      <c r="C39" s="95"/>
      <c r="D39" s="92">
        <v>0</v>
      </c>
      <c r="E39" s="77"/>
      <c r="F39" s="77"/>
      <c r="G39" s="77"/>
    </row>
    <row r="40" spans="1:7" ht="16.5" hidden="1" thickBot="1" x14ac:dyDescent="0.3">
      <c r="A40" s="104" t="s">
        <v>312</v>
      </c>
      <c r="B40" s="23">
        <v>0</v>
      </c>
      <c r="C40" s="95"/>
      <c r="D40" s="92"/>
      <c r="E40" s="77"/>
      <c r="F40" s="77"/>
      <c r="G40" s="77"/>
    </row>
    <row r="41" spans="1:7" ht="16.5" hidden="1" thickBot="1" x14ac:dyDescent="0.3">
      <c r="A41" s="104" t="s">
        <v>313</v>
      </c>
      <c r="B41" s="23">
        <v>0</v>
      </c>
      <c r="C41" s="93"/>
      <c r="D41" s="92"/>
      <c r="E41" s="77"/>
      <c r="F41" s="77"/>
      <c r="G41" s="77"/>
    </row>
    <row r="42" spans="1:7" s="103" customFormat="1" ht="48" thickBot="1" x14ac:dyDescent="0.3">
      <c r="A42" s="101" t="s">
        <v>325</v>
      </c>
      <c r="B42" s="208">
        <f>SUM(B43:B45)</f>
        <v>29972.658379302695</v>
      </c>
      <c r="C42" s="89"/>
      <c r="D42" s="95"/>
      <c r="E42" s="102"/>
      <c r="F42" s="102"/>
      <c r="G42" s="102"/>
    </row>
    <row r="43" spans="1:7" ht="15.75" x14ac:dyDescent="0.25">
      <c r="A43" s="104" t="s">
        <v>262</v>
      </c>
      <c r="B43" s="23">
        <v>1270.8400000000001</v>
      </c>
      <c r="C43" s="98"/>
      <c r="D43" s="108"/>
      <c r="E43" s="77"/>
      <c r="F43" s="77"/>
      <c r="G43" s="77"/>
    </row>
    <row r="44" spans="1:7" ht="15.75" x14ac:dyDescent="0.25">
      <c r="A44" s="104" t="s">
        <v>263</v>
      </c>
      <c r="B44" s="23">
        <v>16013.079093716906</v>
      </c>
      <c r="C44" s="93"/>
      <c r="D44" s="108"/>
      <c r="E44" s="77"/>
      <c r="F44" s="77"/>
      <c r="G44" s="77"/>
    </row>
    <row r="45" spans="1:7" ht="16.5" thickBot="1" x14ac:dyDescent="0.3">
      <c r="A45" s="109" t="s">
        <v>264</v>
      </c>
      <c r="B45" s="23">
        <f>('[3]34тарифы'!D163*B15+449.02)*1.1194</f>
        <v>12688.739285585791</v>
      </c>
      <c r="C45" s="93"/>
      <c r="D45" s="108"/>
      <c r="E45" s="77"/>
      <c r="F45" s="77"/>
      <c r="G45" s="77"/>
    </row>
    <row r="46" spans="1:7" s="79" customFormat="1" ht="16.5" thickBot="1" x14ac:dyDescent="0.3">
      <c r="A46" s="101" t="s">
        <v>265</v>
      </c>
      <c r="B46" s="208">
        <f>SUM(B47:B65)</f>
        <v>15003.85</v>
      </c>
      <c r="C46" s="89"/>
      <c r="D46" s="95"/>
    </row>
    <row r="47" spans="1:7" ht="15.75" hidden="1" x14ac:dyDescent="0.25">
      <c r="A47" s="104" t="s">
        <v>326</v>
      </c>
      <c r="B47" s="23">
        <v>0</v>
      </c>
      <c r="C47" s="90"/>
      <c r="D47" s="92"/>
      <c r="E47" s="77" t="s">
        <v>267</v>
      </c>
      <c r="F47" s="77"/>
      <c r="G47" s="77"/>
    </row>
    <row r="48" spans="1:7" ht="15.75" x14ac:dyDescent="0.25">
      <c r="A48" s="104" t="s">
        <v>317</v>
      </c>
      <c r="B48" s="23">
        <v>0</v>
      </c>
      <c r="C48" s="95"/>
      <c r="D48" s="92"/>
      <c r="E48" s="77" t="s">
        <v>269</v>
      </c>
      <c r="F48" s="77"/>
      <c r="G48" s="77"/>
    </row>
    <row r="49" spans="1:5" ht="15.75" x14ac:dyDescent="0.25">
      <c r="A49" s="110" t="s">
        <v>362</v>
      </c>
      <c r="B49" s="23">
        <f>142.12</f>
        <v>142.12</v>
      </c>
      <c r="C49" s="95"/>
      <c r="D49" s="92"/>
      <c r="E49" s="77"/>
    </row>
    <row r="50" spans="1:5" ht="15.75" hidden="1" x14ac:dyDescent="0.25">
      <c r="A50" s="110" t="s">
        <v>271</v>
      </c>
      <c r="B50" s="23">
        <v>0</v>
      </c>
      <c r="C50" s="95"/>
      <c r="D50" s="92">
        <v>4190</v>
      </c>
      <c r="E50" s="77"/>
    </row>
    <row r="51" spans="1:5" ht="15.75" hidden="1" x14ac:dyDescent="0.25">
      <c r="A51" s="110" t="s">
        <v>490</v>
      </c>
      <c r="B51" s="23">
        <v>0</v>
      </c>
      <c r="C51" s="95"/>
      <c r="D51" s="92"/>
      <c r="E51" s="77"/>
    </row>
    <row r="52" spans="1:5" ht="15.75" hidden="1" x14ac:dyDescent="0.25">
      <c r="A52" s="110" t="s">
        <v>273</v>
      </c>
      <c r="B52" s="23">
        <f>B21*'[3]34тарифы'!D177</f>
        <v>0</v>
      </c>
      <c r="C52" s="95"/>
      <c r="D52" s="92">
        <v>105.14</v>
      </c>
      <c r="E52" s="77"/>
    </row>
    <row r="53" spans="1:5" ht="15.75" hidden="1" x14ac:dyDescent="0.25">
      <c r="A53" s="110" t="s">
        <v>274</v>
      </c>
      <c r="B53" s="23">
        <v>0</v>
      </c>
      <c r="C53" s="95">
        <v>0</v>
      </c>
      <c r="D53" s="92">
        <v>522.99</v>
      </c>
      <c r="E53" s="77"/>
    </row>
    <row r="54" spans="1:5" ht="15.75" hidden="1" x14ac:dyDescent="0.25">
      <c r="A54" s="110" t="s">
        <v>275</v>
      </c>
      <c r="B54" s="23">
        <v>0</v>
      </c>
      <c r="C54" s="95">
        <v>0</v>
      </c>
      <c r="D54" s="111">
        <v>695.13</v>
      </c>
      <c r="E54" s="77"/>
    </row>
    <row r="55" spans="1:5" ht="15.75" hidden="1" x14ac:dyDescent="0.25">
      <c r="A55" s="110" t="s">
        <v>276</v>
      </c>
      <c r="B55" s="23">
        <v>0</v>
      </c>
      <c r="C55" s="95"/>
      <c r="D55" s="111"/>
      <c r="E55" s="77"/>
    </row>
    <row r="56" spans="1:5" ht="15.75" hidden="1" x14ac:dyDescent="0.25">
      <c r="A56" s="110" t="s">
        <v>277</v>
      </c>
      <c r="B56" s="23">
        <v>0</v>
      </c>
      <c r="C56" s="95">
        <v>0</v>
      </c>
      <c r="D56" s="92">
        <f>10695.76/1.18</f>
        <v>9064.203389830509</v>
      </c>
      <c r="E56" s="77"/>
    </row>
    <row r="57" spans="1:5" ht="15.75" hidden="1" x14ac:dyDescent="0.25">
      <c r="A57" s="110" t="s">
        <v>314</v>
      </c>
      <c r="B57" s="23">
        <v>0</v>
      </c>
      <c r="C57" s="95">
        <v>0</v>
      </c>
      <c r="D57" s="92">
        <f>2300/1.18</f>
        <v>1949.1525423728815</v>
      </c>
      <c r="E57" s="77"/>
    </row>
    <row r="58" spans="1:5" ht="15.75" x14ac:dyDescent="0.25">
      <c r="A58" s="110" t="s">
        <v>316</v>
      </c>
      <c r="B58" s="23">
        <v>0</v>
      </c>
      <c r="C58" s="93">
        <v>0</v>
      </c>
      <c r="D58" s="92">
        <v>0</v>
      </c>
      <c r="E58" s="77"/>
    </row>
    <row r="59" spans="1:5" ht="16.5" hidden="1" thickBot="1" x14ac:dyDescent="0.3">
      <c r="A59" s="110" t="s">
        <v>279</v>
      </c>
      <c r="B59" s="23">
        <f>B13*'[3]34тарифы'!D184</f>
        <v>0</v>
      </c>
      <c r="C59" s="89"/>
      <c r="D59" s="95"/>
      <c r="E59" s="77"/>
    </row>
    <row r="60" spans="1:5" ht="15.75" hidden="1" x14ac:dyDescent="0.25">
      <c r="A60" s="104" t="s">
        <v>280</v>
      </c>
      <c r="B60" s="23">
        <v>0</v>
      </c>
      <c r="C60" s="90"/>
      <c r="D60" s="92"/>
      <c r="E60" s="77"/>
    </row>
    <row r="61" spans="1:5" ht="15.75" hidden="1" x14ac:dyDescent="0.25">
      <c r="A61" s="104" t="s">
        <v>281</v>
      </c>
      <c r="B61" s="23">
        <v>0</v>
      </c>
      <c r="C61" s="95"/>
      <c r="D61" s="92">
        <v>0</v>
      </c>
      <c r="E61" s="77"/>
    </row>
    <row r="62" spans="1:5" ht="15.75" hidden="1" x14ac:dyDescent="0.25">
      <c r="A62" s="104" t="s">
        <v>340</v>
      </c>
      <c r="B62" s="23">
        <v>0</v>
      </c>
      <c r="C62" s="95"/>
      <c r="D62" s="92">
        <v>0</v>
      </c>
      <c r="E62" s="77"/>
    </row>
    <row r="63" spans="1:5" ht="16.5" thickBot="1" x14ac:dyDescent="0.3">
      <c r="A63" s="104" t="s">
        <v>341</v>
      </c>
      <c r="B63" s="229">
        <f>14861.73</f>
        <v>14861.73</v>
      </c>
      <c r="C63" s="113">
        <v>1</v>
      </c>
      <c r="D63" s="92">
        <v>0</v>
      </c>
      <c r="E63" s="77"/>
    </row>
    <row r="64" spans="1:5" ht="16.5" hidden="1" thickBot="1" x14ac:dyDescent="0.3">
      <c r="A64" s="104" t="s">
        <v>284</v>
      </c>
      <c r="B64" s="229">
        <v>0</v>
      </c>
      <c r="C64" s="114">
        <v>48</v>
      </c>
      <c r="D64" s="95">
        <v>2</v>
      </c>
      <c r="E64" s="77">
        <v>1</v>
      </c>
    </row>
    <row r="65" spans="1:4" s="79" customFormat="1" ht="16.5" hidden="1" thickBot="1" x14ac:dyDescent="0.3">
      <c r="A65" s="104" t="s">
        <v>285</v>
      </c>
      <c r="B65" s="229">
        <v>0</v>
      </c>
      <c r="C65" s="115"/>
      <c r="D65" s="108">
        <v>0</v>
      </c>
    </row>
    <row r="66" spans="1:4" ht="16.5" thickBot="1" x14ac:dyDescent="0.3">
      <c r="A66" s="116" t="s">
        <v>286</v>
      </c>
      <c r="B66" s="208">
        <f>SUM(B67:B74)</f>
        <v>142544.23132277565</v>
      </c>
      <c r="C66" s="89"/>
      <c r="D66" s="93"/>
    </row>
    <row r="67" spans="1:4" ht="16.5" hidden="1" thickBot="1" x14ac:dyDescent="0.3">
      <c r="A67" s="104" t="s">
        <v>287</v>
      </c>
      <c r="B67" s="23">
        <v>0</v>
      </c>
      <c r="C67" s="98"/>
      <c r="D67" s="108"/>
    </row>
    <row r="68" spans="1:4" ht="16.5" thickBot="1" x14ac:dyDescent="0.3">
      <c r="A68" s="104" t="s">
        <v>288</v>
      </c>
      <c r="B68" s="23">
        <f>50077.86*1.04*1.1194</f>
        <v>58299.442743359999</v>
      </c>
      <c r="C68" s="89"/>
      <c r="D68" s="93"/>
    </row>
    <row r="69" spans="1:4" ht="15.75" hidden="1" x14ac:dyDescent="0.25">
      <c r="A69" s="104" t="s">
        <v>289</v>
      </c>
      <c r="B69" s="23">
        <v>0</v>
      </c>
      <c r="C69" s="98"/>
      <c r="D69" s="108"/>
    </row>
    <row r="70" spans="1:4" ht="16.5" thickBot="1" x14ac:dyDescent="0.3">
      <c r="A70" s="109" t="s">
        <v>290</v>
      </c>
      <c r="B70" s="23">
        <f>'[3]34тарифы'!D164*B13*1.1194</f>
        <v>2532.264759360336</v>
      </c>
      <c r="C70" s="93"/>
      <c r="D70" s="108"/>
    </row>
    <row r="71" spans="1:4" ht="15.75" x14ac:dyDescent="0.25">
      <c r="A71" s="109" t="s">
        <v>291</v>
      </c>
      <c r="B71" s="23">
        <f>VLOOKUP(A71,[2]Лист1!S$1:T$65536,2,FALSE)*B15</f>
        <v>9489.8422292217765</v>
      </c>
      <c r="C71" s="117"/>
      <c r="D71" s="93"/>
    </row>
    <row r="72" spans="1:4" ht="15.75" x14ac:dyDescent="0.25">
      <c r="A72" s="109" t="s">
        <v>292</v>
      </c>
      <c r="B72" s="23">
        <f>VLOOKUP(A72,[2]Лист1!S$1:T$65536,2,FALSE)*B15</f>
        <v>33127.33480059354</v>
      </c>
      <c r="C72" s="108"/>
      <c r="D72" s="93"/>
    </row>
    <row r="73" spans="1:4" ht="15.75" x14ac:dyDescent="0.25">
      <c r="A73" s="41" t="s">
        <v>293</v>
      </c>
      <c r="B73" s="23">
        <f>3556.02*1.04*1.1194</f>
        <v>4139.8331395200003</v>
      </c>
      <c r="C73" s="108"/>
      <c r="D73" s="93"/>
    </row>
    <row r="74" spans="1:4" ht="15.75" x14ac:dyDescent="0.25">
      <c r="A74" s="109" t="s">
        <v>294</v>
      </c>
      <c r="B74" s="23">
        <f>30025.97*1.04*1.1194</f>
        <v>34955.51365072</v>
      </c>
      <c r="C74" s="108"/>
      <c r="D74" s="93"/>
    </row>
    <row r="75" spans="1:4" ht="47.25" x14ac:dyDescent="0.25">
      <c r="A75" s="118" t="s">
        <v>328</v>
      </c>
      <c r="B75" s="208">
        <f>SUM(B76:B76)</f>
        <v>69793.571913556414</v>
      </c>
      <c r="C75" s="108"/>
      <c r="D75" s="93"/>
    </row>
    <row r="76" spans="1:4" s="79" customFormat="1" ht="15.75" x14ac:dyDescent="0.25">
      <c r="A76" s="109" t="s">
        <v>296</v>
      </c>
      <c r="B76" s="23">
        <f>'[3]34ОЭР'!D198*1.1194</f>
        <v>69793.571913556414</v>
      </c>
      <c r="C76" s="108"/>
      <c r="D76" s="93"/>
    </row>
    <row r="77" spans="1:4" ht="15.75" x14ac:dyDescent="0.25">
      <c r="A77" s="116" t="s">
        <v>297</v>
      </c>
      <c r="B77" s="208">
        <f>SUM(B78:B81)</f>
        <v>64883.625183984615</v>
      </c>
      <c r="C77" s="108"/>
      <c r="D77" s="93"/>
    </row>
    <row r="78" spans="1:4" ht="32.25" thickBot="1" x14ac:dyDescent="0.3">
      <c r="A78" s="119" t="s">
        <v>329</v>
      </c>
      <c r="B78" s="23">
        <f>'[3]34тарифы'!D170*B15*1.1194</f>
        <v>49493.854983321304</v>
      </c>
      <c r="C78" s="96"/>
      <c r="D78" s="93"/>
    </row>
    <row r="79" spans="1:4" ht="16.5" hidden="1" thickBot="1" x14ac:dyDescent="0.3">
      <c r="A79" s="51" t="s">
        <v>299</v>
      </c>
      <c r="B79" s="23">
        <f>(B26/1.2)*30%</f>
        <v>0</v>
      </c>
      <c r="C79" s="98"/>
      <c r="D79" s="108"/>
    </row>
    <row r="80" spans="1:4" ht="15.75" x14ac:dyDescent="0.25">
      <c r="A80" s="120" t="s">
        <v>330</v>
      </c>
      <c r="B80" s="23">
        <f>6215.18+4666.52</f>
        <v>10881.7</v>
      </c>
      <c r="C80" s="117"/>
      <c r="D80" s="93"/>
    </row>
    <row r="81" spans="1:4" ht="15.75" x14ac:dyDescent="0.25">
      <c r="A81" s="120" t="s">
        <v>331</v>
      </c>
      <c r="B81" s="23">
        <f>'[3]34тарифы'!D173*B13*1.1194</f>
        <v>4508.0702006633146</v>
      </c>
      <c r="C81" s="108"/>
      <c r="D81" s="93"/>
    </row>
    <row r="82" spans="1:4" ht="15.75" x14ac:dyDescent="0.25">
      <c r="A82" s="121" t="s">
        <v>302</v>
      </c>
      <c r="B82" s="28">
        <f>B32+B42+B46+B66+B75+B77</f>
        <v>352939.10772190249</v>
      </c>
      <c r="C82" s="108"/>
      <c r="D82" s="93"/>
    </row>
    <row r="83" spans="1:4" s="103" customFormat="1" ht="15.75" x14ac:dyDescent="0.25">
      <c r="A83" s="122" t="s">
        <v>303</v>
      </c>
      <c r="B83" s="23">
        <f>B82*0.03</f>
        <v>10588.173231657074</v>
      </c>
      <c r="C83" s="108"/>
      <c r="D83" s="93"/>
    </row>
    <row r="84" spans="1:4" ht="15.75" x14ac:dyDescent="0.25">
      <c r="A84" s="123" t="s">
        <v>304</v>
      </c>
      <c r="B84" s="208">
        <f>B82+B83</f>
        <v>363527.28095355956</v>
      </c>
      <c r="C84" s="108"/>
      <c r="D84" s="93"/>
    </row>
    <row r="85" spans="1:4" s="79" customFormat="1" ht="16.5" thickBot="1" x14ac:dyDescent="0.3">
      <c r="A85" s="124" t="s">
        <v>305</v>
      </c>
      <c r="B85" s="240">
        <f>B84*0.2</f>
        <v>72705.45619071192</v>
      </c>
      <c r="C85" s="108"/>
      <c r="D85" s="93"/>
    </row>
    <row r="86" spans="1:4" s="79" customFormat="1" ht="16.5" thickBot="1" x14ac:dyDescent="0.3">
      <c r="A86" s="125" t="s">
        <v>306</v>
      </c>
      <c r="B86" s="66">
        <f>B84+B85</f>
        <v>436232.73714427149</v>
      </c>
      <c r="C86" s="89"/>
      <c r="D86" s="126"/>
    </row>
    <row r="87" spans="1:4" s="79" customFormat="1" ht="16.5" thickBot="1" x14ac:dyDescent="0.3">
      <c r="A87" s="127" t="s">
        <v>307</v>
      </c>
      <c r="B87" s="296">
        <f>B10+B24+B26+B28+B29-B86</f>
        <v>17923.022855728515</v>
      </c>
      <c r="C87" s="128"/>
      <c r="D87" s="129"/>
    </row>
    <row r="88" spans="1:4" s="79" customFormat="1" ht="16.5" thickBot="1" x14ac:dyDescent="0.3">
      <c r="A88" s="130" t="s">
        <v>308</v>
      </c>
      <c r="B88" s="66">
        <f>B10+B25+B27+B28+B29-B86</f>
        <v>31723.042855728534</v>
      </c>
      <c r="C88" s="131"/>
      <c r="D88" s="129"/>
    </row>
    <row r="89" spans="1:4" s="79" customFormat="1" ht="16.5" hidden="1" thickBot="1" x14ac:dyDescent="0.3">
      <c r="A89" s="132" t="s">
        <v>309</v>
      </c>
      <c r="B89" s="66">
        <f>B11+B24-B25</f>
        <v>-13800.020000000019</v>
      </c>
      <c r="C89" s="129"/>
      <c r="D89" s="129"/>
    </row>
    <row r="90" spans="1:4" ht="15.75" x14ac:dyDescent="0.25">
      <c r="A90" s="133"/>
      <c r="B90" s="242"/>
      <c r="C90" s="129"/>
      <c r="D90" s="129"/>
    </row>
    <row r="91" spans="1:4" ht="15.75" x14ac:dyDescent="0.25">
      <c r="A91" s="134"/>
      <c r="B91" s="3"/>
      <c r="C91" s="77"/>
      <c r="D91" s="77"/>
    </row>
    <row r="92" spans="1:4" ht="15.75" x14ac:dyDescent="0.25">
      <c r="A92" s="323" t="s">
        <v>332</v>
      </c>
      <c r="B92" s="323"/>
      <c r="C92" s="77"/>
      <c r="D92" s="77"/>
    </row>
    <row r="93" spans="1:4" ht="15.75" x14ac:dyDescent="0.25">
      <c r="A93" s="134"/>
      <c r="B93" s="3"/>
      <c r="C93" s="77"/>
      <c r="D93" s="77"/>
    </row>
    <row r="94" spans="1:4" ht="15.75" hidden="1" x14ac:dyDescent="0.25">
      <c r="A94" s="324" t="s">
        <v>333</v>
      </c>
      <c r="B94" s="324"/>
      <c r="C94" s="135"/>
      <c r="D94" s="77"/>
    </row>
    <row r="95" spans="1:4" ht="15.75" x14ac:dyDescent="0.25">
      <c r="A95" s="77"/>
      <c r="B95" s="3"/>
      <c r="C95" s="77"/>
      <c r="D95" s="77"/>
    </row>
  </sheetData>
  <autoFilter ref="A31:G89" xr:uid="{00000000-0009-0000-0000-00004C000000}">
    <filterColumn colId="1">
      <filters>
        <filter val="1 270,84"/>
        <filter val="10 886,26"/>
        <filter val="12 538,35"/>
        <filter val="12 688,74"/>
        <filter val="-13 800,02"/>
        <filter val="142 544,23"/>
        <filter val="15 653,38"/>
        <filter val="16 013,08"/>
        <filter val="2 272,00"/>
        <filter val="2 532,26"/>
        <filter val="20 702,90"/>
        <filter val="23 283,37"/>
        <filter val="29 972,66"/>
        <filter val="3 568,36"/>
        <filter val="30 741,17"/>
        <filter val="33 127,33"/>
        <filter val="34 955,51"/>
        <filter val="362 875,27"/>
        <filter val="373 761,53"/>
        <filter val="4 139,83"/>
        <filter val="4 508,07"/>
        <filter val="4 701,48"/>
        <filter val="448 513,84"/>
        <filter val="49 493,85"/>
        <filter val="58 299,44"/>
        <filter val="58 945,92"/>
        <filter val="6 469,91"/>
        <filter val="656,51"/>
        <filter val="66 540,28"/>
        <filter val="69 793,57"/>
        <filter val="72 745,94"/>
        <filter val="74 752,31"/>
        <filter val="9 489,84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83"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 filterMode="1">
    <pageSetUpPr fitToPage="1"/>
  </sheetPr>
  <dimension ref="A1:G94"/>
  <sheetViews>
    <sheetView view="pageBreakPreview" topLeftCell="A44" zoomScale="80" zoomScaleNormal="100" zoomScaleSheetLayoutView="80" workbookViewId="0">
      <selection activeCell="B80" sqref="B80"/>
    </sheetView>
  </sheetViews>
  <sheetFormatPr defaultRowHeight="15.75" x14ac:dyDescent="0.25"/>
  <cols>
    <col min="1" max="1" width="91.5703125" style="77" customWidth="1"/>
    <col min="2" max="2" width="15" style="3" customWidth="1"/>
    <col min="3" max="4" width="13.85546875" style="77" customWidth="1"/>
    <col min="5" max="5" width="14.140625" style="77" customWidth="1"/>
    <col min="6" max="6" width="11.140625" style="77" customWidth="1"/>
    <col min="7" max="7" width="12.42578125" style="77" bestFit="1" customWidth="1"/>
    <col min="8" max="16384" width="9.140625" style="77"/>
  </cols>
  <sheetData>
    <row r="1" spans="1:4" ht="16.5" customHeight="1" x14ac:dyDescent="0.25">
      <c r="A1" s="313" t="s">
        <v>224</v>
      </c>
      <c r="B1" s="313"/>
    </row>
    <row r="2" spans="1:4" ht="16.5" x14ac:dyDescent="0.25">
      <c r="A2" s="315" t="s">
        <v>225</v>
      </c>
      <c r="B2" s="315"/>
    </row>
    <row r="3" spans="1:4" ht="16.5" x14ac:dyDescent="0.25">
      <c r="A3" s="315" t="s">
        <v>226</v>
      </c>
      <c r="B3" s="315"/>
    </row>
    <row r="4" spans="1:4" s="3" customFormat="1" x14ac:dyDescent="0.25">
      <c r="A4" s="4" t="s">
        <v>516</v>
      </c>
      <c r="B4" s="4"/>
    </row>
    <row r="5" spans="1:4" x14ac:dyDescent="0.25">
      <c r="A5" s="4" t="s">
        <v>187</v>
      </c>
      <c r="B5" s="4"/>
    </row>
    <row r="6" spans="1:4" x14ac:dyDescent="0.25">
      <c r="A6" s="4"/>
      <c r="B6" s="8"/>
      <c r="C6" s="79"/>
    </row>
    <row r="7" spans="1:4" s="3" customFormat="1" ht="16.5" thickBot="1" x14ac:dyDescent="0.3">
      <c r="A7" s="9"/>
      <c r="B7" s="8"/>
      <c r="C7" s="8"/>
    </row>
    <row r="8" spans="1:4" x14ac:dyDescent="0.25">
      <c r="A8" s="317" t="s">
        <v>227</v>
      </c>
      <c r="B8" s="329" t="s">
        <v>228</v>
      </c>
      <c r="C8" s="307" t="s">
        <v>229</v>
      </c>
      <c r="D8" s="307" t="s">
        <v>230</v>
      </c>
    </row>
    <row r="9" spans="1:4" ht="16.5" thickBot="1" x14ac:dyDescent="0.3">
      <c r="A9" s="318"/>
      <c r="B9" s="330"/>
      <c r="C9" s="308"/>
      <c r="D9" s="308"/>
    </row>
    <row r="10" spans="1:4" ht="16.5" thickBot="1" x14ac:dyDescent="0.3">
      <c r="A10" s="10" t="s">
        <v>231</v>
      </c>
      <c r="B10" s="303">
        <f>VLOOKUP(A5,мкд!S:T,2,FALSE)</f>
        <v>1299337.73</v>
      </c>
      <c r="C10" s="12"/>
      <c r="D10" s="12"/>
    </row>
    <row r="11" spans="1:4" ht="16.5" hidden="1" thickBot="1" x14ac:dyDescent="0.3">
      <c r="A11" s="13" t="s">
        <v>232</v>
      </c>
      <c r="B11" s="280"/>
      <c r="C11" s="14"/>
      <c r="D11" s="14"/>
    </row>
    <row r="12" spans="1:4" x14ac:dyDescent="0.25">
      <c r="A12" s="15" t="s">
        <v>233</v>
      </c>
      <c r="B12" s="281"/>
      <c r="C12" s="17" t="s">
        <v>234</v>
      </c>
      <c r="D12" s="18" t="s">
        <v>234</v>
      </c>
    </row>
    <row r="13" spans="1:4" s="3" customFormat="1" hidden="1" x14ac:dyDescent="0.25">
      <c r="A13" s="19" t="s">
        <v>235</v>
      </c>
      <c r="B13" s="23">
        <v>14619.3</v>
      </c>
      <c r="C13" s="21" t="s">
        <v>234</v>
      </c>
      <c r="D13" s="22" t="s">
        <v>234</v>
      </c>
    </row>
    <row r="14" spans="1:4" s="3" customFormat="1" hidden="1" x14ac:dyDescent="0.25">
      <c r="A14" s="19" t="s">
        <v>236</v>
      </c>
      <c r="B14" s="23">
        <v>158.6</v>
      </c>
      <c r="C14" s="21"/>
      <c r="D14" s="22"/>
    </row>
    <row r="15" spans="1:4" s="3" customFormat="1" hidden="1" x14ac:dyDescent="0.25">
      <c r="A15" s="19" t="s">
        <v>237</v>
      </c>
      <c r="B15" s="23">
        <f>B13+B14</f>
        <v>14777.9</v>
      </c>
      <c r="C15" s="21"/>
      <c r="D15" s="22"/>
    </row>
    <row r="16" spans="1:4" s="3" customFormat="1" hidden="1" x14ac:dyDescent="0.25">
      <c r="A16" s="19" t="s">
        <v>238</v>
      </c>
      <c r="B16" s="23">
        <f>3638.8+5104/3</f>
        <v>5340.1333333333332</v>
      </c>
      <c r="C16" s="21" t="s">
        <v>234</v>
      </c>
      <c r="D16" s="22" t="s">
        <v>234</v>
      </c>
    </row>
    <row r="17" spans="1:7" s="270" customFormat="1" hidden="1" x14ac:dyDescent="0.25">
      <c r="A17" s="19" t="s">
        <v>239</v>
      </c>
      <c r="B17" s="23">
        <v>0</v>
      </c>
      <c r="C17" s="274" t="s">
        <v>234</v>
      </c>
      <c r="D17" s="269" t="s">
        <v>234</v>
      </c>
    </row>
    <row r="18" spans="1:7" s="3" customFormat="1" hidden="1" x14ac:dyDescent="0.25">
      <c r="A18" s="19" t="s">
        <v>240</v>
      </c>
      <c r="B18" s="23">
        <v>1786</v>
      </c>
      <c r="C18" s="21" t="s">
        <v>234</v>
      </c>
      <c r="D18" s="22" t="s">
        <v>234</v>
      </c>
    </row>
    <row r="19" spans="1:7" s="3" customFormat="1" hidden="1" x14ac:dyDescent="0.25">
      <c r="A19" s="19" t="s">
        <v>241</v>
      </c>
      <c r="B19" s="23">
        <v>0</v>
      </c>
      <c r="C19" s="21" t="s">
        <v>234</v>
      </c>
      <c r="D19" s="22" t="s">
        <v>234</v>
      </c>
    </row>
    <row r="20" spans="1:7" s="3" customFormat="1" hidden="1" x14ac:dyDescent="0.25">
      <c r="A20" s="19" t="s">
        <v>242</v>
      </c>
      <c r="B20" s="23">
        <v>2663</v>
      </c>
      <c r="C20" s="21"/>
      <c r="D20" s="22"/>
    </row>
    <row r="21" spans="1:7" s="3" customFormat="1" hidden="1" x14ac:dyDescent="0.25">
      <c r="A21" s="19" t="s">
        <v>243</v>
      </c>
      <c r="B21" s="23">
        <v>7</v>
      </c>
      <c r="C21" s="21" t="s">
        <v>234</v>
      </c>
      <c r="D21" s="22" t="s">
        <v>234</v>
      </c>
    </row>
    <row r="22" spans="1:7" s="3" customFormat="1" hidden="1" x14ac:dyDescent="0.25">
      <c r="A22" s="19" t="s">
        <v>244</v>
      </c>
      <c r="B22" s="23">
        <v>719</v>
      </c>
      <c r="C22" s="21"/>
      <c r="D22" s="22"/>
    </row>
    <row r="23" spans="1:7" x14ac:dyDescent="0.25">
      <c r="A23" s="19"/>
      <c r="B23" s="23"/>
      <c r="C23" s="21"/>
      <c r="D23" s="22"/>
      <c r="E23" s="77">
        <v>10</v>
      </c>
      <c r="F23" s="77">
        <v>2</v>
      </c>
    </row>
    <row r="24" spans="1:7" x14ac:dyDescent="0.25">
      <c r="A24" s="24" t="s">
        <v>245</v>
      </c>
      <c r="B24" s="28">
        <f>VLOOKUP(A5,[8]Лист1!M$1:O$65536,2,FALSE)</f>
        <v>2944545.0999999996</v>
      </c>
      <c r="C24" s="21"/>
      <c r="D24" s="22"/>
      <c r="E24" s="26">
        <v>16.489999999999998</v>
      </c>
      <c r="F24" s="256">
        <v>18.458905999999999</v>
      </c>
    </row>
    <row r="25" spans="1:7" x14ac:dyDescent="0.25">
      <c r="A25" s="24" t="s">
        <v>246</v>
      </c>
      <c r="B25" s="28">
        <f>VLOOKUP(A5,[8]Лист1!M$1:O$65536,3,FALSE)</f>
        <v>2896509.3</v>
      </c>
      <c r="C25" s="21"/>
      <c r="D25" s="22"/>
    </row>
    <row r="26" spans="1:7" x14ac:dyDescent="0.25">
      <c r="A26" s="24" t="s">
        <v>247</v>
      </c>
      <c r="B26" s="28">
        <v>31685.74</v>
      </c>
      <c r="C26" s="21"/>
      <c r="D26" s="22"/>
    </row>
    <row r="27" spans="1:7" x14ac:dyDescent="0.25">
      <c r="A27" s="24" t="s">
        <v>248</v>
      </c>
      <c r="B27" s="282">
        <v>31067.360000000001</v>
      </c>
      <c r="C27" s="21"/>
      <c r="D27" s="22"/>
    </row>
    <row r="28" spans="1:7" x14ac:dyDescent="0.25">
      <c r="A28" s="24" t="s">
        <v>470</v>
      </c>
      <c r="B28" s="28">
        <v>14171.28</v>
      </c>
      <c r="C28" s="21"/>
      <c r="D28" s="22"/>
      <c r="E28" s="77">
        <v>39.200000000000003</v>
      </c>
    </row>
    <row r="29" spans="1:7" hidden="1" x14ac:dyDescent="0.25">
      <c r="A29" s="24" t="s">
        <v>374</v>
      </c>
      <c r="B29" s="28"/>
      <c r="C29" s="21"/>
      <c r="D29" s="22"/>
    </row>
    <row r="30" spans="1:7" x14ac:dyDescent="0.25">
      <c r="A30" s="29"/>
      <c r="B30" s="23"/>
      <c r="C30" s="21"/>
      <c r="D30" s="22"/>
    </row>
    <row r="31" spans="1:7" x14ac:dyDescent="0.25">
      <c r="A31" s="30" t="s">
        <v>251</v>
      </c>
      <c r="B31" s="23"/>
      <c r="C31" s="21"/>
      <c r="D31" s="22"/>
    </row>
    <row r="32" spans="1:7" s="103" customFormat="1" ht="31.5" x14ac:dyDescent="0.25">
      <c r="A32" s="31" t="s">
        <v>252</v>
      </c>
      <c r="B32" s="208">
        <f>SUM(B33:B41)</f>
        <v>452481.23999999993</v>
      </c>
      <c r="C32" s="21"/>
      <c r="D32" s="22"/>
      <c r="E32" s="102">
        <f>(B24-B86)/1.2/1.03</f>
        <v>-513608.84962214867</v>
      </c>
      <c r="F32" s="102" t="e">
        <f>(#REF!-#REF!)/1.2/1.03</f>
        <v>#REF!</v>
      </c>
      <c r="G32" s="102" t="e">
        <f>(#REF!-#REF!)/1.2/1.03</f>
        <v>#REF!</v>
      </c>
    </row>
    <row r="33" spans="1:7" x14ac:dyDescent="0.25">
      <c r="A33" s="35" t="s">
        <v>253</v>
      </c>
      <c r="B33" s="23">
        <v>287809.42</v>
      </c>
      <c r="C33" s="21"/>
      <c r="D33" s="22">
        <v>0</v>
      </c>
      <c r="E33" s="77">
        <v>146</v>
      </c>
    </row>
    <row r="34" spans="1:7" x14ac:dyDescent="0.25">
      <c r="A34" s="35" t="s">
        <v>254</v>
      </c>
      <c r="B34" s="23">
        <v>73301.240000000005</v>
      </c>
      <c r="C34" s="21"/>
      <c r="D34" s="22">
        <v>0</v>
      </c>
      <c r="E34" s="77">
        <v>15</v>
      </c>
    </row>
    <row r="35" spans="1:7" hidden="1" x14ac:dyDescent="0.25">
      <c r="A35" s="35" t="s">
        <v>255</v>
      </c>
      <c r="B35" s="23"/>
      <c r="C35" s="21"/>
      <c r="D35" s="22">
        <v>0</v>
      </c>
      <c r="E35" s="77">
        <v>144</v>
      </c>
    </row>
    <row r="36" spans="1:7" hidden="1" x14ac:dyDescent="0.25">
      <c r="A36" s="35" t="s">
        <v>364</v>
      </c>
      <c r="B36" s="23">
        <v>0</v>
      </c>
      <c r="C36" s="21" t="s">
        <v>234</v>
      </c>
      <c r="D36" s="22">
        <v>0</v>
      </c>
    </row>
    <row r="37" spans="1:7" x14ac:dyDescent="0.25">
      <c r="A37" s="35" t="s">
        <v>256</v>
      </c>
      <c r="B37" s="23">
        <v>20294.91</v>
      </c>
      <c r="C37" s="21"/>
      <c r="D37" s="22">
        <v>0</v>
      </c>
      <c r="E37" s="77">
        <v>21</v>
      </c>
    </row>
    <row r="38" spans="1:7" x14ac:dyDescent="0.25">
      <c r="A38" s="35" t="s">
        <v>363</v>
      </c>
      <c r="B38" s="147">
        <v>68428.3</v>
      </c>
      <c r="C38" s="21"/>
      <c r="D38" s="22">
        <v>0</v>
      </c>
    </row>
    <row r="39" spans="1:7" hidden="1" x14ac:dyDescent="0.25">
      <c r="A39" s="35" t="s">
        <v>259</v>
      </c>
      <c r="B39" s="147">
        <v>0</v>
      </c>
      <c r="C39" s="21"/>
      <c r="D39" s="22">
        <v>0</v>
      </c>
    </row>
    <row r="40" spans="1:7" x14ac:dyDescent="0.25">
      <c r="A40" s="35" t="s">
        <v>339</v>
      </c>
      <c r="B40" s="147">
        <v>2647.37</v>
      </c>
      <c r="C40" s="21"/>
      <c r="D40" s="22"/>
    </row>
    <row r="41" spans="1:7" hidden="1" x14ac:dyDescent="0.25">
      <c r="A41" s="35" t="s">
        <v>257</v>
      </c>
      <c r="B41" s="23">
        <v>0</v>
      </c>
      <c r="C41" s="21"/>
      <c r="D41" s="22"/>
      <c r="E41" s="77">
        <v>11</v>
      </c>
    </row>
    <row r="42" spans="1:7" s="103" customFormat="1" ht="47.25" x14ac:dyDescent="0.25">
      <c r="A42" s="31" t="s">
        <v>261</v>
      </c>
      <c r="B42" s="208">
        <f>SUM(B43:B45)</f>
        <v>159726.20000000001</v>
      </c>
      <c r="C42" s="21"/>
      <c r="D42" s="22"/>
      <c r="E42" s="102"/>
      <c r="F42" s="102"/>
      <c r="G42" s="102"/>
    </row>
    <row r="43" spans="1:7" x14ac:dyDescent="0.25">
      <c r="A43" s="35" t="s">
        <v>262</v>
      </c>
      <c r="B43" s="23">
        <v>9151.35</v>
      </c>
      <c r="C43" s="39"/>
      <c r="D43" s="40"/>
      <c r="E43" s="77">
        <v>24.9</v>
      </c>
    </row>
    <row r="44" spans="1:7" x14ac:dyDescent="0.25">
      <c r="A44" s="35" t="s">
        <v>263</v>
      </c>
      <c r="B44" s="23">
        <v>100938.4</v>
      </c>
      <c r="C44" s="39"/>
      <c r="D44" s="40"/>
      <c r="E44" s="77">
        <v>56.5</v>
      </c>
    </row>
    <row r="45" spans="1:7" x14ac:dyDescent="0.25">
      <c r="A45" s="41" t="s">
        <v>264</v>
      </c>
      <c r="B45" s="23">
        <v>49636.45</v>
      </c>
      <c r="C45" s="39"/>
      <c r="D45" s="40"/>
    </row>
    <row r="46" spans="1:7" s="79" customFormat="1" x14ac:dyDescent="0.25">
      <c r="A46" s="31" t="s">
        <v>265</v>
      </c>
      <c r="B46" s="208">
        <f>SUM(B47:B65)</f>
        <v>480264.26</v>
      </c>
      <c r="C46" s="21"/>
      <c r="D46" s="22"/>
    </row>
    <row r="47" spans="1:7" x14ac:dyDescent="0.25">
      <c r="A47" s="35" t="s">
        <v>266</v>
      </c>
      <c r="B47" s="283">
        <v>7501.2</v>
      </c>
      <c r="C47" s="21"/>
      <c r="D47" s="22"/>
      <c r="E47" s="77" t="s">
        <v>267</v>
      </c>
    </row>
    <row r="48" spans="1:7" x14ac:dyDescent="0.25">
      <c r="A48" s="35" t="s">
        <v>268</v>
      </c>
      <c r="B48" s="283">
        <v>9108.6</v>
      </c>
      <c r="C48" s="21"/>
      <c r="D48" s="22"/>
      <c r="E48" s="77" t="s">
        <v>269</v>
      </c>
    </row>
    <row r="49" spans="1:5" x14ac:dyDescent="0.25">
      <c r="A49" s="42" t="s">
        <v>270</v>
      </c>
      <c r="B49" s="283">
        <v>405976.52</v>
      </c>
      <c r="C49" s="21">
        <v>7</v>
      </c>
      <c r="D49" s="22">
        <f>5187.89*7</f>
        <v>36315.230000000003</v>
      </c>
    </row>
    <row r="50" spans="1:5" hidden="1" x14ac:dyDescent="0.25">
      <c r="A50" s="42" t="s">
        <v>282</v>
      </c>
      <c r="B50" s="22"/>
      <c r="C50" s="21">
        <v>7</v>
      </c>
      <c r="D50" s="22">
        <v>4190</v>
      </c>
    </row>
    <row r="51" spans="1:5" x14ac:dyDescent="0.25">
      <c r="A51" s="42" t="s">
        <v>471</v>
      </c>
      <c r="B51" s="22">
        <v>0</v>
      </c>
      <c r="C51" s="21">
        <v>7</v>
      </c>
      <c r="D51" s="22">
        <v>13973</v>
      </c>
    </row>
    <row r="52" spans="1:5" x14ac:dyDescent="0.25">
      <c r="A52" s="42" t="s">
        <v>282</v>
      </c>
      <c r="B52" s="22">
        <f>453.9</f>
        <v>453.9</v>
      </c>
      <c r="C52" s="21">
        <v>7</v>
      </c>
      <c r="D52" s="22">
        <v>105.14</v>
      </c>
    </row>
    <row r="53" spans="1:5" hidden="1" x14ac:dyDescent="0.25">
      <c r="A53" s="42" t="s">
        <v>380</v>
      </c>
      <c r="B53" s="147"/>
      <c r="C53" s="21">
        <v>0</v>
      </c>
      <c r="D53" s="22">
        <v>522.99</v>
      </c>
    </row>
    <row r="54" spans="1:5" x14ac:dyDescent="0.25">
      <c r="A54" s="42" t="s">
        <v>275</v>
      </c>
      <c r="B54" s="23">
        <v>8133.62</v>
      </c>
      <c r="C54" s="21">
        <v>1</v>
      </c>
      <c r="D54" s="44">
        <v>695.13</v>
      </c>
    </row>
    <row r="55" spans="1:5" s="3" customFormat="1" x14ac:dyDescent="0.25">
      <c r="A55" s="42" t="s">
        <v>473</v>
      </c>
      <c r="B55" s="283">
        <v>0</v>
      </c>
      <c r="C55" s="21"/>
      <c r="D55" s="44"/>
    </row>
    <row r="56" spans="1:5" hidden="1" x14ac:dyDescent="0.25">
      <c r="A56" s="42" t="s">
        <v>277</v>
      </c>
      <c r="B56" s="147">
        <v>0</v>
      </c>
      <c r="C56" s="21">
        <v>0</v>
      </c>
      <c r="D56" s="22">
        <f>10695.76/1.18</f>
        <v>9064.203389830509</v>
      </c>
    </row>
    <row r="57" spans="1:5" hidden="1" x14ac:dyDescent="0.25">
      <c r="A57" s="42" t="s">
        <v>472</v>
      </c>
      <c r="B57" s="147"/>
      <c r="C57" s="21">
        <v>0</v>
      </c>
      <c r="D57" s="22">
        <f>2300/1.18</f>
        <v>1949.1525423728815</v>
      </c>
    </row>
    <row r="58" spans="1:5" hidden="1" x14ac:dyDescent="0.25">
      <c r="A58" s="42" t="s">
        <v>348</v>
      </c>
      <c r="B58" s="147"/>
      <c r="C58" s="21">
        <v>0</v>
      </c>
      <c r="D58" s="22">
        <v>0</v>
      </c>
    </row>
    <row r="59" spans="1:5" x14ac:dyDescent="0.25">
      <c r="A59" s="42" t="s">
        <v>542</v>
      </c>
      <c r="B59" s="283">
        <v>4200</v>
      </c>
      <c r="C59" s="21"/>
      <c r="D59" s="22"/>
      <c r="E59" s="77">
        <f>B13*'[3]63тарифы'!D184</f>
        <v>0</v>
      </c>
    </row>
    <row r="60" spans="1:5" hidden="1" x14ac:dyDescent="0.25">
      <c r="A60" s="35" t="s">
        <v>280</v>
      </c>
      <c r="B60" s="147">
        <v>0</v>
      </c>
      <c r="C60" s="21"/>
      <c r="D60" s="22"/>
    </row>
    <row r="61" spans="1:5" hidden="1" x14ac:dyDescent="0.25">
      <c r="A61" s="35" t="s">
        <v>281</v>
      </c>
      <c r="B61" s="147">
        <v>0</v>
      </c>
      <c r="C61" s="21"/>
      <c r="D61" s="22">
        <v>0</v>
      </c>
    </row>
    <row r="62" spans="1:5" hidden="1" x14ac:dyDescent="0.25">
      <c r="A62" s="35" t="s">
        <v>474</v>
      </c>
      <c r="B62" s="23">
        <v>0</v>
      </c>
      <c r="C62" s="21"/>
      <c r="D62" s="22">
        <v>0</v>
      </c>
    </row>
    <row r="63" spans="1:5" x14ac:dyDescent="0.25">
      <c r="A63" s="35" t="s">
        <v>327</v>
      </c>
      <c r="B63" s="283">
        <v>44890.42</v>
      </c>
      <c r="C63" s="46">
        <v>1</v>
      </c>
      <c r="D63" s="22">
        <v>0</v>
      </c>
    </row>
    <row r="64" spans="1:5" hidden="1" x14ac:dyDescent="0.25">
      <c r="A64" s="35" t="s">
        <v>284</v>
      </c>
      <c r="B64" s="47">
        <v>0</v>
      </c>
      <c r="C64" s="46">
        <v>250</v>
      </c>
      <c r="D64" s="22">
        <v>2</v>
      </c>
      <c r="E64" s="77">
        <v>0</v>
      </c>
    </row>
    <row r="65" spans="1:4" hidden="1" x14ac:dyDescent="0.25">
      <c r="A65" s="35" t="s">
        <v>285</v>
      </c>
      <c r="B65" s="47">
        <v>0</v>
      </c>
      <c r="C65" s="48"/>
      <c r="D65" s="40">
        <v>0</v>
      </c>
    </row>
    <row r="66" spans="1:4" s="79" customFormat="1" x14ac:dyDescent="0.25">
      <c r="A66" s="49" t="s">
        <v>286</v>
      </c>
      <c r="B66" s="208">
        <f>SUM(B67:B74)</f>
        <v>846736.999389356</v>
      </c>
      <c r="C66" s="39"/>
      <c r="D66" s="40"/>
    </row>
    <row r="67" spans="1:4" hidden="1" x14ac:dyDescent="0.25">
      <c r="A67" s="35" t="s">
        <v>287</v>
      </c>
      <c r="B67" s="147">
        <v>0</v>
      </c>
      <c r="C67" s="39"/>
      <c r="D67" s="40"/>
    </row>
    <row r="68" spans="1:4" x14ac:dyDescent="0.25">
      <c r="A68" s="35" t="s">
        <v>288</v>
      </c>
      <c r="B68" s="23">
        <f>206335*1.04*1.1194</f>
        <v>240210.25495999999</v>
      </c>
      <c r="C68" s="39"/>
      <c r="D68" s="40"/>
    </row>
    <row r="69" spans="1:4" hidden="1" x14ac:dyDescent="0.25">
      <c r="A69" s="35" t="s">
        <v>289</v>
      </c>
      <c r="B69" s="147">
        <v>0</v>
      </c>
      <c r="C69" s="39"/>
      <c r="D69" s="40"/>
    </row>
    <row r="70" spans="1:4" x14ac:dyDescent="0.25">
      <c r="A70" s="41" t="s">
        <v>290</v>
      </c>
      <c r="B70" s="23">
        <f>'[3]63тарифы'!D164*B13*1.1194</f>
        <v>18041.784783135903</v>
      </c>
      <c r="C70" s="39"/>
      <c r="D70" s="40"/>
    </row>
    <row r="71" spans="1:4" x14ac:dyDescent="0.25">
      <c r="A71" s="41" t="s">
        <v>291</v>
      </c>
      <c r="B71" s="23">
        <f>VLOOKUP($A71,[8]Лист1!S$1:T$65536,2,FALSE)*B15</f>
        <v>68346.381148796965</v>
      </c>
      <c r="C71" s="39"/>
      <c r="D71" s="40"/>
    </row>
    <row r="72" spans="1:4" x14ac:dyDescent="0.25">
      <c r="A72" s="41" t="s">
        <v>292</v>
      </c>
      <c r="B72" s="23">
        <f>VLOOKUP($A72,[8]Лист1!S$1:T$65536,2,FALSE)*B15</f>
        <v>238584.94124942311</v>
      </c>
      <c r="C72" s="39"/>
      <c r="D72" s="40"/>
    </row>
    <row r="73" spans="1:4" s="3" customFormat="1" x14ac:dyDescent="0.25">
      <c r="A73" s="41" t="s">
        <v>293</v>
      </c>
      <c r="B73" s="23">
        <f>25600*1.04*1.1194</f>
        <v>29802.905599999998</v>
      </c>
      <c r="C73" s="39"/>
      <c r="D73" s="40"/>
    </row>
    <row r="74" spans="1:4" x14ac:dyDescent="0.25">
      <c r="A74" s="41" t="s">
        <v>475</v>
      </c>
      <c r="B74" s="23">
        <f>216248*1.04*1.1194</f>
        <v>251750.73164800002</v>
      </c>
      <c r="C74" s="39"/>
      <c r="D74" s="40"/>
    </row>
    <row r="75" spans="1:4" ht="41.25" x14ac:dyDescent="0.25">
      <c r="A75" s="50" t="s">
        <v>462</v>
      </c>
      <c r="B75" s="208">
        <f>SUM(B76:B76)</f>
        <v>497262.62172400003</v>
      </c>
      <c r="C75" s="39"/>
      <c r="D75" s="40"/>
    </row>
    <row r="76" spans="1:4" x14ac:dyDescent="0.25">
      <c r="A76" s="41" t="s">
        <v>296</v>
      </c>
      <c r="B76" s="23">
        <f>444222.46*1.1194</f>
        <v>497262.62172400003</v>
      </c>
      <c r="C76" s="39"/>
      <c r="D76" s="40"/>
    </row>
    <row r="77" spans="1:4" s="79" customFormat="1" x14ac:dyDescent="0.25">
      <c r="A77" s="49" t="s">
        <v>297</v>
      </c>
      <c r="B77" s="208">
        <f>SUM(B78:B81)</f>
        <v>459455.57057998981</v>
      </c>
      <c r="C77" s="39"/>
      <c r="D77" s="40"/>
    </row>
    <row r="78" spans="1:4" x14ac:dyDescent="0.25">
      <c r="A78" s="51" t="s">
        <v>298</v>
      </c>
      <c r="B78" s="23">
        <f>'[3]63тарифы'!D170*B15*1.1194</f>
        <v>356457.54644866899</v>
      </c>
      <c r="C78" s="39"/>
      <c r="D78" s="40"/>
    </row>
    <row r="79" spans="1:4" x14ac:dyDescent="0.25">
      <c r="A79" s="51" t="s">
        <v>299</v>
      </c>
      <c r="B79" s="23">
        <f>B26/1.2*30%</f>
        <v>7921.4350000000004</v>
      </c>
      <c r="C79" s="39"/>
      <c r="D79" s="40"/>
    </row>
    <row r="80" spans="1:4" x14ac:dyDescent="0.25">
      <c r="A80" s="120" t="s">
        <v>463</v>
      </c>
      <c r="B80" s="23">
        <f>35791.03+27166.63</f>
        <v>62957.66</v>
      </c>
      <c r="C80" s="39"/>
      <c r="D80" s="40"/>
    </row>
    <row r="81" spans="1:4" x14ac:dyDescent="0.25">
      <c r="A81" s="120" t="s">
        <v>464</v>
      </c>
      <c r="B81" s="23">
        <f>'[3]63тарифы'!D173*B13*1.1194</f>
        <v>32118.929131320816</v>
      </c>
      <c r="C81" s="39"/>
      <c r="D81" s="40"/>
    </row>
    <row r="82" spans="1:4" x14ac:dyDescent="0.25">
      <c r="A82" s="53" t="s">
        <v>302</v>
      </c>
      <c r="B82" s="28">
        <f>B32+B42+B46+B66+B75+B77</f>
        <v>2895926.8916933457</v>
      </c>
      <c r="C82" s="39"/>
      <c r="D82" s="40"/>
    </row>
    <row r="83" spans="1:4" x14ac:dyDescent="0.25">
      <c r="A83" s="54" t="s">
        <v>303</v>
      </c>
      <c r="B83" s="23">
        <f>B82*0.03</f>
        <v>86877.806750800373</v>
      </c>
      <c r="C83" s="39"/>
      <c r="D83" s="40"/>
    </row>
    <row r="84" spans="1:4" s="103" customFormat="1" x14ac:dyDescent="0.25">
      <c r="A84" s="55" t="s">
        <v>304</v>
      </c>
      <c r="B84" s="208">
        <f>B82+B83</f>
        <v>2982804.6984441462</v>
      </c>
      <c r="C84" s="39"/>
      <c r="D84" s="40"/>
    </row>
    <row r="85" spans="1:4" ht="16.5" thickBot="1" x14ac:dyDescent="0.3">
      <c r="A85" s="56" t="s">
        <v>305</v>
      </c>
      <c r="B85" s="240">
        <f>B84*0.2</f>
        <v>596560.93968882924</v>
      </c>
      <c r="C85" s="39"/>
      <c r="D85" s="40"/>
    </row>
    <row r="86" spans="1:4" s="79" customFormat="1" ht="16.5" thickBot="1" x14ac:dyDescent="0.3">
      <c r="A86" s="58" t="s">
        <v>306</v>
      </c>
      <c r="B86" s="66">
        <f>B84+B85</f>
        <v>3579365.6381329754</v>
      </c>
      <c r="C86" s="60"/>
      <c r="D86" s="61"/>
    </row>
    <row r="87" spans="1:4" s="79" customFormat="1" ht="16.5" thickBot="1" x14ac:dyDescent="0.3">
      <c r="A87" s="62" t="s">
        <v>307</v>
      </c>
      <c r="B87" s="296">
        <f>B10+B24+B26+B28+B29-B86</f>
        <v>710374.21186702512</v>
      </c>
      <c r="C87" s="63"/>
      <c r="D87" s="63"/>
    </row>
    <row r="88" spans="1:4" s="79" customFormat="1" ht="16.5" thickBot="1" x14ac:dyDescent="0.3">
      <c r="A88" s="64" t="s">
        <v>308</v>
      </c>
      <c r="B88" s="66">
        <f>B10+B25+B27+B28+B29-B86</f>
        <v>661720.03186702449</v>
      </c>
      <c r="C88" s="63"/>
      <c r="D88" s="63"/>
    </row>
    <row r="89" spans="1:4" s="79" customFormat="1" ht="16.5" hidden="1" thickBot="1" x14ac:dyDescent="0.3">
      <c r="A89" s="65" t="s">
        <v>309</v>
      </c>
      <c r="B89" s="284">
        <f>B11+B24-B25</f>
        <v>48035.799999999814</v>
      </c>
      <c r="C89" s="63"/>
      <c r="D89" s="63"/>
    </row>
    <row r="90" spans="1:4" s="79" customFormat="1" x14ac:dyDescent="0.25">
      <c r="A90" s="67"/>
      <c r="B90" s="242"/>
      <c r="C90" s="63"/>
      <c r="D90" s="63"/>
    </row>
    <row r="91" spans="1:4" x14ac:dyDescent="0.25">
      <c r="A91" s="69"/>
    </row>
    <row r="92" spans="1:4" x14ac:dyDescent="0.25">
      <c r="A92" s="309" t="s">
        <v>476</v>
      </c>
      <c r="B92" s="309"/>
    </row>
    <row r="93" spans="1:4" x14ac:dyDescent="0.25">
      <c r="A93" s="69"/>
      <c r="B93" s="72"/>
    </row>
    <row r="94" spans="1:4" x14ac:dyDescent="0.25">
      <c r="A94" s="324"/>
      <c r="B94" s="311"/>
      <c r="C94" s="135"/>
    </row>
  </sheetData>
  <autoFilter ref="A31:G89" xr:uid="{00000000-0009-0000-0000-00004D000000}">
    <filterColumn colId="1">
      <filters>
        <filter val="1 250 683,55"/>
        <filter val="1 299 337,73"/>
        <filter val="100 938,40"/>
        <filter val="11 509,89"/>
        <filter val="15 912,00"/>
        <filter val="159 726,20"/>
        <filter val="18 041,78"/>
        <filter val="2 647,37"/>
        <filter val="20 294,91"/>
        <filter val="238 584,94"/>
        <filter val="240 210,25"/>
        <filter val="251 750,73"/>
        <filter val="287 809,42"/>
        <filter val="29 802,91"/>
        <filter val="3 007 256,01"/>
        <filter val="3 097 473,69"/>
        <filter val="3 716 968,43"/>
        <filter val="32 118,93"/>
        <filter val="34 300,00"/>
        <filter val="356 457,55"/>
        <filter val="36 501,93"/>
        <filter val="37 704,88"/>
        <filter val="427 382,76"/>
        <filter val="432 999,84"/>
        <filter val="452 481,24"/>
        <filter val="49 636,45"/>
        <filter val="497 262,62"/>
        <filter val="6 201,48"/>
        <filter val="618 049,11"/>
        <filter val="619 494,74"/>
        <filter val="68 346,38"/>
        <filter val="68 428,30"/>
        <filter val="7 501,20"/>
        <filter val="7 921,44"/>
        <filter val="73 301,24"/>
        <filter val="846 737,00"/>
        <filter val="9 108,60"/>
        <filter val="9 151,35"/>
        <filter val="90 217,68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78740157480314965" right="0.78740157480314965" top="0.35433070866141736" bottom="0.15748031496062992" header="0.31496062992125984" footer="0.31496062992125984"/>
  <pageSetup paperSize="9" scale="74"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 filterMode="1">
    <pageSetUpPr fitToPage="1"/>
  </sheetPr>
  <dimension ref="A1:G95"/>
  <sheetViews>
    <sheetView view="pageBreakPreview" topLeftCell="A40" zoomScale="80" zoomScaleNormal="100" zoomScaleSheetLayoutView="80" workbookViewId="0">
      <selection activeCell="B81" sqref="B81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3.140625" customWidth="1"/>
    <col min="7" max="7" width="12.42578125" bestFit="1" customWidth="1"/>
  </cols>
  <sheetData>
    <row r="1" spans="1:4" ht="16.5" customHeight="1" x14ac:dyDescent="0.25">
      <c r="A1" s="325" t="s">
        <v>224</v>
      </c>
      <c r="B1" s="325"/>
      <c r="C1" s="77"/>
      <c r="D1" s="77"/>
    </row>
    <row r="2" spans="1:4" ht="16.5" x14ac:dyDescent="0.25">
      <c r="A2" s="326" t="s">
        <v>225</v>
      </c>
      <c r="B2" s="326"/>
      <c r="C2" s="77"/>
      <c r="D2" s="77"/>
    </row>
    <row r="3" spans="1:4" ht="16.5" x14ac:dyDescent="0.25">
      <c r="A3" s="326" t="s">
        <v>226</v>
      </c>
      <c r="B3" s="326"/>
      <c r="C3" s="77"/>
      <c r="D3" s="77"/>
    </row>
    <row r="4" spans="1:4" ht="15.75" x14ac:dyDescent="0.25">
      <c r="A4" s="78" t="s">
        <v>516</v>
      </c>
      <c r="B4" s="78"/>
      <c r="C4" s="77"/>
      <c r="D4" s="77"/>
    </row>
    <row r="5" spans="1:4" ht="15.75" x14ac:dyDescent="0.25">
      <c r="A5" s="78" t="s">
        <v>194</v>
      </c>
      <c r="B5" s="78"/>
      <c r="C5" s="77"/>
      <c r="D5" s="77"/>
    </row>
    <row r="6" spans="1:4" ht="5.25" customHeight="1" x14ac:dyDescent="0.25">
      <c r="A6" s="78"/>
      <c r="B6" s="8"/>
      <c r="C6" s="79"/>
      <c r="D6" s="77"/>
    </row>
    <row r="7" spans="1:4" ht="16.5" thickBot="1" x14ac:dyDescent="0.3">
      <c r="A7" s="80"/>
      <c r="B7" s="8"/>
      <c r="C7" s="79"/>
      <c r="D7" s="77"/>
    </row>
    <row r="8" spans="1:4" ht="15.75" customHeight="1" x14ac:dyDescent="0.2">
      <c r="A8" s="327" t="s">
        <v>227</v>
      </c>
      <c r="B8" s="329" t="s">
        <v>228</v>
      </c>
      <c r="C8" s="331" t="s">
        <v>229</v>
      </c>
      <c r="D8" s="321" t="s">
        <v>230</v>
      </c>
    </row>
    <row r="9" spans="1:4" ht="28.5" customHeight="1" thickBot="1" x14ac:dyDescent="0.25">
      <c r="A9" s="328"/>
      <c r="B9" s="330"/>
      <c r="C9" s="332"/>
      <c r="D9" s="322"/>
    </row>
    <row r="10" spans="1:4" ht="16.5" thickBot="1" x14ac:dyDescent="0.25">
      <c r="A10" s="81" t="s">
        <v>231</v>
      </c>
      <c r="B10" s="302">
        <f>VLOOKUP(A5,мкд!S:T,2,FALSE)</f>
        <v>-3800226.53</v>
      </c>
      <c r="C10" s="83"/>
      <c r="D10" s="84"/>
    </row>
    <row r="11" spans="1:4" ht="16.5" hidden="1" thickBot="1" x14ac:dyDescent="0.25">
      <c r="A11" s="85" t="s">
        <v>232</v>
      </c>
      <c r="B11" s="210"/>
      <c r="C11" s="84"/>
      <c r="D11" s="86"/>
    </row>
    <row r="12" spans="1:4" ht="16.5" thickBot="1" x14ac:dyDescent="0.3">
      <c r="A12" s="87" t="s">
        <v>233</v>
      </c>
      <c r="B12" s="217"/>
      <c r="C12" s="89" t="s">
        <v>234</v>
      </c>
      <c r="D12" s="90" t="s">
        <v>234</v>
      </c>
    </row>
    <row r="13" spans="1:4" ht="16.5" hidden="1" thickBot="1" x14ac:dyDescent="0.3">
      <c r="A13" s="91" t="s">
        <v>235</v>
      </c>
      <c r="B13" s="23">
        <v>4562.6000000000004</v>
      </c>
      <c r="C13" s="90" t="s">
        <v>234</v>
      </c>
      <c r="D13" s="92" t="s">
        <v>234</v>
      </c>
    </row>
    <row r="14" spans="1:4" ht="16.5" hidden="1" thickBot="1" x14ac:dyDescent="0.3">
      <c r="A14" s="91" t="s">
        <v>236</v>
      </c>
      <c r="B14" s="23">
        <v>0</v>
      </c>
      <c r="C14" s="93"/>
      <c r="D14" s="92"/>
    </row>
    <row r="15" spans="1:4" ht="15.75" x14ac:dyDescent="0.25">
      <c r="A15" s="91" t="s">
        <v>237</v>
      </c>
      <c r="B15" s="23">
        <f>B13+B14</f>
        <v>4562.6000000000004</v>
      </c>
      <c r="C15" s="94"/>
      <c r="D15" s="95"/>
    </row>
    <row r="16" spans="1:4" ht="16.5" thickBot="1" x14ac:dyDescent="0.3">
      <c r="A16" s="91" t="s">
        <v>238</v>
      </c>
      <c r="B16" s="23">
        <f>1557.1+729/3</f>
        <v>1800.1</v>
      </c>
      <c r="C16" s="96" t="s">
        <v>234</v>
      </c>
      <c r="D16" s="95" t="s">
        <v>234</v>
      </c>
    </row>
    <row r="17" spans="1:7" ht="16.5" hidden="1" thickBot="1" x14ac:dyDescent="0.3">
      <c r="A17" s="91" t="s">
        <v>239</v>
      </c>
      <c r="B17" s="23">
        <v>0</v>
      </c>
      <c r="C17" s="90" t="s">
        <v>234</v>
      </c>
      <c r="D17" s="92" t="s">
        <v>234</v>
      </c>
      <c r="E17" s="77"/>
      <c r="F17" s="77"/>
      <c r="G17" s="77"/>
    </row>
    <row r="18" spans="1:7" ht="16.5" hidden="1" thickBot="1" x14ac:dyDescent="0.3">
      <c r="A18" s="91" t="s">
        <v>240</v>
      </c>
      <c r="B18" s="23">
        <v>285</v>
      </c>
      <c r="C18" s="95" t="s">
        <v>234</v>
      </c>
      <c r="D18" s="92" t="s">
        <v>234</v>
      </c>
      <c r="E18" s="77"/>
      <c r="F18" s="77"/>
      <c r="G18" s="77"/>
    </row>
    <row r="19" spans="1:7" ht="16.5" hidden="1" thickBot="1" x14ac:dyDescent="0.3">
      <c r="A19" s="91" t="s">
        <v>241</v>
      </c>
      <c r="B19" s="23">
        <v>0</v>
      </c>
      <c r="C19" s="95" t="s">
        <v>234</v>
      </c>
      <c r="D19" s="92" t="s">
        <v>234</v>
      </c>
      <c r="E19" s="77"/>
      <c r="F19" s="77"/>
      <c r="G19" s="77"/>
    </row>
    <row r="20" spans="1:7" ht="16.5" hidden="1" thickBot="1" x14ac:dyDescent="0.3">
      <c r="A20" s="91" t="s">
        <v>242</v>
      </c>
      <c r="B20" s="23">
        <v>988.2</v>
      </c>
      <c r="C20" s="95"/>
      <c r="D20" s="92"/>
      <c r="E20" s="77"/>
      <c r="F20" s="77"/>
      <c r="G20" s="77"/>
    </row>
    <row r="21" spans="1:7" ht="16.5" hidden="1" thickBot="1" x14ac:dyDescent="0.3">
      <c r="A21" s="91" t="s">
        <v>243</v>
      </c>
      <c r="B21" s="23">
        <v>1</v>
      </c>
      <c r="C21" s="95" t="s">
        <v>234</v>
      </c>
      <c r="D21" s="92" t="s">
        <v>234</v>
      </c>
      <c r="E21" s="77"/>
      <c r="F21" s="77"/>
      <c r="G21" s="77"/>
    </row>
    <row r="22" spans="1:7" ht="16.5" hidden="1" thickBot="1" x14ac:dyDescent="0.3">
      <c r="A22" s="91" t="s">
        <v>244</v>
      </c>
      <c r="B22" s="23">
        <v>277</v>
      </c>
      <c r="C22" s="93"/>
      <c r="D22" s="92"/>
      <c r="E22" s="77"/>
      <c r="F22" s="77"/>
      <c r="G22" s="77"/>
    </row>
    <row r="23" spans="1:7" ht="15.75" x14ac:dyDescent="0.25">
      <c r="A23" s="91"/>
      <c r="B23" s="23"/>
      <c r="C23" s="94"/>
      <c r="D23" s="95"/>
      <c r="E23" s="77">
        <v>10</v>
      </c>
      <c r="F23" s="77">
        <v>2</v>
      </c>
      <c r="G23" s="77"/>
    </row>
    <row r="24" spans="1:7" ht="15.75" x14ac:dyDescent="0.25">
      <c r="A24" s="97" t="s">
        <v>319</v>
      </c>
      <c r="B24" s="28">
        <f>VLOOKUP(A5,[2]Лист1!M$1:N$65536,2,FALSE)</f>
        <v>1024122.76</v>
      </c>
      <c r="C24" s="92"/>
      <c r="D24" s="95"/>
      <c r="E24" s="26">
        <v>18.340000000000003</v>
      </c>
      <c r="F24" s="256">
        <v>20.529796000000005</v>
      </c>
      <c r="G24" s="77"/>
    </row>
    <row r="25" spans="1:7" ht="16.5" thickBot="1" x14ac:dyDescent="0.3">
      <c r="A25" s="97" t="s">
        <v>320</v>
      </c>
      <c r="B25" s="28">
        <f>VLOOKUP(A5,[2]Лист1!M$1:O$65536,3,FALSE)</f>
        <v>1076250.95</v>
      </c>
      <c r="C25" s="96"/>
      <c r="D25" s="95"/>
      <c r="E25" s="77"/>
      <c r="F25" s="77"/>
      <c r="G25" s="77"/>
    </row>
    <row r="26" spans="1:7" ht="16.5" hidden="1" thickBot="1" x14ac:dyDescent="0.3">
      <c r="A26" s="97" t="s">
        <v>321</v>
      </c>
      <c r="B26" s="28"/>
      <c r="C26" s="90"/>
      <c r="D26" s="92"/>
      <c r="E26" s="77"/>
      <c r="F26" s="77"/>
      <c r="G26" s="77"/>
    </row>
    <row r="27" spans="1:7" ht="16.5" hidden="1" thickBot="1" x14ac:dyDescent="0.3">
      <c r="A27" s="97" t="s">
        <v>248</v>
      </c>
      <c r="B27" s="28">
        <f>B26</f>
        <v>0</v>
      </c>
      <c r="C27" s="93"/>
      <c r="D27" s="92"/>
      <c r="E27" s="77"/>
      <c r="F27" s="77"/>
      <c r="G27" s="77"/>
    </row>
    <row r="28" spans="1:7" ht="16.5" thickBot="1" x14ac:dyDescent="0.3">
      <c r="A28" s="97" t="s">
        <v>249</v>
      </c>
      <c r="B28" s="28">
        <v>50769.120000000003</v>
      </c>
      <c r="C28" s="89"/>
      <c r="D28" s="95"/>
      <c r="E28" s="77"/>
      <c r="F28" s="77"/>
      <c r="G28" s="77"/>
    </row>
    <row r="29" spans="1:7" ht="16.5" hidden="1" thickBot="1" x14ac:dyDescent="0.3">
      <c r="A29" s="97" t="s">
        <v>250</v>
      </c>
      <c r="B29" s="28"/>
      <c r="C29" s="98"/>
      <c r="D29" s="92"/>
      <c r="E29" s="77"/>
      <c r="F29" s="77"/>
      <c r="G29" s="77"/>
    </row>
    <row r="30" spans="1:7" ht="15.75" x14ac:dyDescent="0.25">
      <c r="A30" s="99"/>
      <c r="B30" s="23"/>
      <c r="C30" s="94"/>
      <c r="D30" s="95"/>
      <c r="E30" s="77"/>
      <c r="F30" s="77"/>
      <c r="G30" s="77"/>
    </row>
    <row r="31" spans="1:7" ht="15.75" x14ac:dyDescent="0.25">
      <c r="A31" s="100" t="s">
        <v>251</v>
      </c>
      <c r="B31" s="23"/>
      <c r="C31" s="92"/>
      <c r="D31" s="95"/>
      <c r="E31" s="77"/>
      <c r="F31" s="77"/>
      <c r="G31" s="77"/>
    </row>
    <row r="32" spans="1:7" s="103" customFormat="1" ht="31.5" x14ac:dyDescent="0.25">
      <c r="A32" s="101" t="s">
        <v>252</v>
      </c>
      <c r="B32" s="208">
        <f>SUM(B33:B41)</f>
        <v>129028.59761281052</v>
      </c>
      <c r="C32" s="92"/>
      <c r="D32" s="95"/>
      <c r="E32" s="102">
        <f>(B86-B26-B24)/1.2/1.03</f>
        <v>498590.39028649335</v>
      </c>
      <c r="F32" s="102" t="e">
        <f>(#REF!-#REF!-#REF!)/1.2/1.03</f>
        <v>#REF!</v>
      </c>
      <c r="G32" s="102" t="e">
        <f>(#REF!-#REF!-#REF!)/1.2/1.03</f>
        <v>#REF!</v>
      </c>
    </row>
    <row r="33" spans="1:7" ht="16.5" thickBot="1" x14ac:dyDescent="0.3">
      <c r="A33" s="104" t="s">
        <v>253</v>
      </c>
      <c r="B33" s="23">
        <f>50577.87*1.1194</f>
        <v>56616.867678000002</v>
      </c>
      <c r="C33" s="96"/>
      <c r="D33" s="95">
        <v>42248.35</v>
      </c>
      <c r="E33" s="77"/>
      <c r="F33" s="77"/>
      <c r="G33" s="77"/>
    </row>
    <row r="34" spans="1:7" ht="15.75" hidden="1" x14ac:dyDescent="0.25">
      <c r="A34" s="104" t="s">
        <v>343</v>
      </c>
      <c r="B34" s="23">
        <v>0</v>
      </c>
      <c r="C34" s="90"/>
      <c r="D34" s="92">
        <v>0</v>
      </c>
      <c r="E34" s="77"/>
      <c r="F34" s="77"/>
      <c r="G34" s="77"/>
    </row>
    <row r="35" spans="1:7" ht="15.75" hidden="1" x14ac:dyDescent="0.25">
      <c r="A35" s="104" t="s">
        <v>256</v>
      </c>
      <c r="B35" s="23"/>
      <c r="C35" s="95"/>
      <c r="D35" s="92">
        <v>0</v>
      </c>
      <c r="E35" s="77"/>
      <c r="F35" s="77"/>
      <c r="G35" s="77"/>
    </row>
    <row r="36" spans="1:7" ht="15.75" x14ac:dyDescent="0.25">
      <c r="A36" s="104" t="s">
        <v>255</v>
      </c>
      <c r="B36" s="23">
        <v>27822.35993481052</v>
      </c>
      <c r="C36" s="95" t="s">
        <v>234</v>
      </c>
      <c r="D36" s="92">
        <v>0</v>
      </c>
      <c r="E36" s="77" t="s">
        <v>489</v>
      </c>
      <c r="F36" s="77"/>
      <c r="G36" s="77"/>
    </row>
    <row r="37" spans="1:7" ht="15.75" x14ac:dyDescent="0.25">
      <c r="A37" s="104" t="s">
        <v>257</v>
      </c>
      <c r="B37" s="23">
        <v>8284</v>
      </c>
      <c r="C37" s="95"/>
      <c r="D37" s="92">
        <v>0</v>
      </c>
      <c r="E37" s="77"/>
      <c r="F37" s="77"/>
      <c r="G37" s="77"/>
    </row>
    <row r="38" spans="1:7" ht="15.75" hidden="1" x14ac:dyDescent="0.25">
      <c r="A38" s="104" t="s">
        <v>258</v>
      </c>
      <c r="B38" s="23">
        <v>0</v>
      </c>
      <c r="C38" s="95"/>
      <c r="D38" s="92">
        <v>0</v>
      </c>
      <c r="E38" s="77"/>
      <c r="F38" s="77"/>
      <c r="G38" s="77"/>
    </row>
    <row r="39" spans="1:7" ht="15.75" hidden="1" x14ac:dyDescent="0.25">
      <c r="A39" s="104" t="s">
        <v>324</v>
      </c>
      <c r="B39" s="23">
        <v>0</v>
      </c>
      <c r="C39" s="95"/>
      <c r="D39" s="92">
        <v>0</v>
      </c>
      <c r="E39" s="77"/>
      <c r="F39" s="77"/>
      <c r="G39" s="77"/>
    </row>
    <row r="40" spans="1:7" ht="15.75" x14ac:dyDescent="0.25">
      <c r="A40" s="104" t="s">
        <v>363</v>
      </c>
      <c r="B40" s="23">
        <v>22794.62</v>
      </c>
      <c r="C40" s="95"/>
      <c r="D40" s="92"/>
      <c r="E40" s="77"/>
      <c r="F40" s="77"/>
      <c r="G40" s="77"/>
    </row>
    <row r="41" spans="1:7" ht="16.5" thickBot="1" x14ac:dyDescent="0.3">
      <c r="A41" s="104" t="s">
        <v>343</v>
      </c>
      <c r="B41" s="23">
        <v>13510.75</v>
      </c>
      <c r="C41" s="93"/>
      <c r="D41" s="92"/>
      <c r="E41" s="77"/>
      <c r="F41" s="77"/>
      <c r="G41" s="77"/>
    </row>
    <row r="42" spans="1:7" s="103" customFormat="1" ht="48" thickBot="1" x14ac:dyDescent="0.3">
      <c r="A42" s="101" t="s">
        <v>325</v>
      </c>
      <c r="B42" s="208">
        <f>SUM(B43:B45)</f>
        <v>183263.37741804266</v>
      </c>
      <c r="C42" s="89"/>
      <c r="D42" s="95"/>
      <c r="E42" s="102"/>
      <c r="F42" s="102"/>
      <c r="G42" s="102"/>
    </row>
    <row r="43" spans="1:7" ht="15.75" hidden="1" x14ac:dyDescent="0.25">
      <c r="A43" s="104" t="s">
        <v>262</v>
      </c>
      <c r="B43" s="23"/>
      <c r="C43" s="98"/>
      <c r="D43" s="108"/>
      <c r="E43" s="77"/>
      <c r="F43" s="77"/>
      <c r="G43" s="77"/>
    </row>
    <row r="44" spans="1:7" ht="15.75" x14ac:dyDescent="0.25">
      <c r="A44" s="104" t="s">
        <v>263</v>
      </c>
      <c r="B44" s="23">
        <v>155153.20006518942</v>
      </c>
      <c r="C44" s="93"/>
      <c r="D44" s="108"/>
      <c r="E44" s="77"/>
      <c r="F44" s="77"/>
      <c r="G44" s="77"/>
    </row>
    <row r="45" spans="1:7" ht="16.5" thickBot="1" x14ac:dyDescent="0.3">
      <c r="A45" s="109" t="s">
        <v>264</v>
      </c>
      <c r="B45" s="23">
        <f>('[3]34тарифы'!D163*B15+905.11)*1.1194</f>
        <v>28110.177352853225</v>
      </c>
      <c r="C45" s="93"/>
      <c r="D45" s="108"/>
      <c r="E45" s="77"/>
      <c r="F45" s="77"/>
      <c r="G45" s="77"/>
    </row>
    <row r="46" spans="1:7" s="79" customFormat="1" ht="16.5" thickBot="1" x14ac:dyDescent="0.3">
      <c r="A46" s="101" t="s">
        <v>265</v>
      </c>
      <c r="B46" s="208">
        <f>SUM(B47:B65)</f>
        <v>165738.46</v>
      </c>
      <c r="C46" s="89"/>
      <c r="D46" s="95"/>
    </row>
    <row r="47" spans="1:7" ht="15.75" x14ac:dyDescent="0.25">
      <c r="A47" s="104" t="s">
        <v>326</v>
      </c>
      <c r="B47" s="283">
        <v>1197</v>
      </c>
      <c r="C47" s="90"/>
      <c r="D47" s="92"/>
      <c r="E47" s="77" t="s">
        <v>267</v>
      </c>
      <c r="F47" s="77"/>
      <c r="G47" s="77"/>
    </row>
    <row r="48" spans="1:7" ht="15.75" x14ac:dyDescent="0.25">
      <c r="A48" s="104" t="s">
        <v>317</v>
      </c>
      <c r="B48" s="283">
        <v>1453.5</v>
      </c>
      <c r="C48" s="95"/>
      <c r="D48" s="92"/>
      <c r="E48" s="77" t="s">
        <v>269</v>
      </c>
      <c r="F48" s="77"/>
      <c r="G48" s="77"/>
    </row>
    <row r="49" spans="1:5" ht="15.75" x14ac:dyDescent="0.25">
      <c r="A49" s="110" t="s">
        <v>270</v>
      </c>
      <c r="B49" s="283">
        <v>44310.06</v>
      </c>
      <c r="C49" s="95">
        <v>1</v>
      </c>
      <c r="D49" s="92">
        <v>4716.26</v>
      </c>
      <c r="E49" s="77"/>
    </row>
    <row r="50" spans="1:5" ht="15.75" x14ac:dyDescent="0.25">
      <c r="A50" s="110" t="s">
        <v>271</v>
      </c>
      <c r="B50" s="23">
        <v>14900</v>
      </c>
      <c r="C50" s="95">
        <v>1</v>
      </c>
      <c r="D50" s="92">
        <v>4190</v>
      </c>
      <c r="E50" s="77"/>
    </row>
    <row r="51" spans="1:5" ht="15.75" x14ac:dyDescent="0.25">
      <c r="A51" s="110" t="s">
        <v>362</v>
      </c>
      <c r="B51" s="283">
        <f>840+463.36+1043</f>
        <v>2346.36</v>
      </c>
      <c r="C51" s="95">
        <v>1</v>
      </c>
      <c r="D51" s="92">
        <v>0</v>
      </c>
      <c r="E51" s="77"/>
    </row>
    <row r="52" spans="1:5" ht="15.75" x14ac:dyDescent="0.25">
      <c r="A52" s="110" t="s">
        <v>542</v>
      </c>
      <c r="B52" s="229">
        <v>4200</v>
      </c>
      <c r="C52" s="95">
        <v>1</v>
      </c>
      <c r="D52" s="92">
        <v>105.14</v>
      </c>
      <c r="E52" s="77"/>
    </row>
    <row r="53" spans="1:5" ht="15.75" hidden="1" x14ac:dyDescent="0.25">
      <c r="A53" s="110" t="s">
        <v>274</v>
      </c>
      <c r="B53" s="23">
        <v>0</v>
      </c>
      <c r="C53" s="95">
        <v>0</v>
      </c>
      <c r="D53" s="92">
        <v>522.99</v>
      </c>
      <c r="E53" s="77"/>
    </row>
    <row r="54" spans="1:5" ht="15.75" x14ac:dyDescent="0.25">
      <c r="A54" s="110" t="s">
        <v>275</v>
      </c>
      <c r="B54" s="23">
        <v>8133.61</v>
      </c>
      <c r="C54" s="95">
        <v>1</v>
      </c>
      <c r="D54" s="111">
        <v>700.55</v>
      </c>
      <c r="E54" s="77"/>
    </row>
    <row r="55" spans="1:5" ht="15.75" hidden="1" x14ac:dyDescent="0.25">
      <c r="A55" s="110" t="s">
        <v>276</v>
      </c>
      <c r="B55" s="23">
        <v>0</v>
      </c>
      <c r="C55" s="95"/>
      <c r="D55" s="111"/>
      <c r="E55" s="77"/>
    </row>
    <row r="56" spans="1:5" ht="15.75" x14ac:dyDescent="0.25">
      <c r="A56" s="110" t="s">
        <v>540</v>
      </c>
      <c r="B56" s="23">
        <f>38797.93</f>
        <v>38797.93</v>
      </c>
      <c r="C56" s="95">
        <v>0</v>
      </c>
      <c r="D56" s="92">
        <f>10695.76/1.18</f>
        <v>9064.203389830509</v>
      </c>
      <c r="E56" s="77"/>
    </row>
    <row r="57" spans="1:5" ht="15.75" hidden="1" x14ac:dyDescent="0.25">
      <c r="A57" s="110" t="s">
        <v>314</v>
      </c>
      <c r="B57" s="23">
        <v>0</v>
      </c>
      <c r="C57" s="95">
        <v>0</v>
      </c>
      <c r="D57" s="92">
        <f>2300/1.18</f>
        <v>1949.1525423728815</v>
      </c>
      <c r="E57" s="77"/>
    </row>
    <row r="58" spans="1:5" ht="15.75" hidden="1" x14ac:dyDescent="0.25">
      <c r="A58" s="110" t="s">
        <v>346</v>
      </c>
      <c r="B58" s="23">
        <v>0</v>
      </c>
      <c r="C58" s="93">
        <v>0</v>
      </c>
      <c r="D58" s="92">
        <v>0</v>
      </c>
      <c r="E58" s="77"/>
    </row>
    <row r="59" spans="1:5" ht="16.5" hidden="1" thickBot="1" x14ac:dyDescent="0.3">
      <c r="A59" s="110" t="s">
        <v>279</v>
      </c>
      <c r="B59" s="23">
        <f>B13*'[3]34тарифы'!D184</f>
        <v>0</v>
      </c>
      <c r="C59" s="89"/>
      <c r="D59" s="95"/>
      <c r="E59" s="77"/>
    </row>
    <row r="60" spans="1:5" ht="15.75" hidden="1" x14ac:dyDescent="0.25">
      <c r="A60" s="104" t="s">
        <v>280</v>
      </c>
      <c r="B60" s="23">
        <v>0</v>
      </c>
      <c r="C60" s="90"/>
      <c r="D60" s="92"/>
      <c r="E60" s="77"/>
    </row>
    <row r="61" spans="1:5" ht="15.75" hidden="1" x14ac:dyDescent="0.25">
      <c r="A61" s="104" t="s">
        <v>281</v>
      </c>
      <c r="B61" s="23">
        <v>0</v>
      </c>
      <c r="C61" s="95"/>
      <c r="D61" s="92">
        <v>0</v>
      </c>
      <c r="E61" s="77"/>
    </row>
    <row r="62" spans="1:5" ht="15.75" hidden="1" x14ac:dyDescent="0.25">
      <c r="A62" s="104" t="s">
        <v>340</v>
      </c>
      <c r="B62" s="23">
        <v>0</v>
      </c>
      <c r="C62" s="95"/>
      <c r="D62" s="92">
        <v>0</v>
      </c>
      <c r="E62" s="77"/>
    </row>
    <row r="63" spans="1:5" ht="15.75" hidden="1" x14ac:dyDescent="0.25">
      <c r="A63" s="104" t="s">
        <v>327</v>
      </c>
      <c r="B63" s="229">
        <v>0</v>
      </c>
      <c r="C63" s="113">
        <v>1</v>
      </c>
      <c r="D63" s="92">
        <v>0</v>
      </c>
      <c r="E63" s="77"/>
    </row>
    <row r="64" spans="1:5" ht="16.5" hidden="1" thickBot="1" x14ac:dyDescent="0.3">
      <c r="A64" s="104" t="s">
        <v>284</v>
      </c>
      <c r="B64" s="229">
        <v>0</v>
      </c>
      <c r="C64" s="114">
        <v>106</v>
      </c>
      <c r="D64" s="95">
        <v>1</v>
      </c>
      <c r="E64" s="77">
        <v>0</v>
      </c>
    </row>
    <row r="65" spans="1:4" ht="16.5" thickBot="1" x14ac:dyDescent="0.3">
      <c r="A65" s="104" t="s">
        <v>484</v>
      </c>
      <c r="B65" s="229">
        <v>50400</v>
      </c>
      <c r="C65" s="115"/>
      <c r="D65" s="108">
        <v>0</v>
      </c>
    </row>
    <row r="66" spans="1:4" s="79" customFormat="1" ht="16.5" thickBot="1" x14ac:dyDescent="0.3">
      <c r="A66" s="116" t="s">
        <v>286</v>
      </c>
      <c r="B66" s="208">
        <f>SUM(B67:B74)</f>
        <v>264045.27645734564</v>
      </c>
      <c r="C66" s="89"/>
      <c r="D66" s="93"/>
    </row>
    <row r="67" spans="1:4" ht="16.5" hidden="1" thickBot="1" x14ac:dyDescent="0.3">
      <c r="A67" s="104" t="s">
        <v>287</v>
      </c>
      <c r="B67" s="23">
        <v>0</v>
      </c>
      <c r="C67" s="98"/>
      <c r="D67" s="108"/>
    </row>
    <row r="68" spans="1:4" ht="16.5" thickBot="1" x14ac:dyDescent="0.3">
      <c r="A68" s="104" t="s">
        <v>288</v>
      </c>
      <c r="B68" s="23">
        <f>65900.46*1.04*1.1194</f>
        <v>76719.733920960003</v>
      </c>
      <c r="C68" s="89"/>
      <c r="D68" s="93"/>
    </row>
    <row r="69" spans="1:4" ht="15.75" hidden="1" x14ac:dyDescent="0.25">
      <c r="A69" s="104" t="s">
        <v>289</v>
      </c>
      <c r="B69" s="23">
        <v>0</v>
      </c>
      <c r="C69" s="98"/>
      <c r="D69" s="108"/>
    </row>
    <row r="70" spans="1:4" ht="16.5" thickBot="1" x14ac:dyDescent="0.3">
      <c r="A70" s="109" t="s">
        <v>290</v>
      </c>
      <c r="B70" s="23">
        <f>'[3]34тарифы'!D164*B13*1.1194</f>
        <v>5630.7379458343339</v>
      </c>
      <c r="C70" s="93"/>
      <c r="D70" s="108"/>
    </row>
    <row r="71" spans="1:4" ht="15.75" x14ac:dyDescent="0.25">
      <c r="A71" s="109" t="s">
        <v>291</v>
      </c>
      <c r="B71" s="23">
        <f>VLOOKUP(A71,[2]Лист1!S$1:T$65536,2,FALSE)*B15</f>
        <v>21101.590796358149</v>
      </c>
      <c r="C71" s="117"/>
      <c r="D71" s="93"/>
    </row>
    <row r="72" spans="1:4" ht="15.75" x14ac:dyDescent="0.25">
      <c r="A72" s="109" t="s">
        <v>292</v>
      </c>
      <c r="B72" s="23">
        <f>VLOOKUP(A72,[2]Лист1!S$1:T$65536,2,FALSE)*B15</f>
        <v>73661.863522193133</v>
      </c>
      <c r="C72" s="108"/>
      <c r="D72" s="93"/>
    </row>
    <row r="73" spans="1:4" ht="15.75" x14ac:dyDescent="0.25">
      <c r="A73" s="41" t="s">
        <v>293</v>
      </c>
      <c r="B73" s="289">
        <f>7907*1.04*1.1194</f>
        <v>9205.1396320000003</v>
      </c>
      <c r="C73" s="108"/>
      <c r="D73" s="93"/>
    </row>
    <row r="74" spans="1:4" ht="15.75" x14ac:dyDescent="0.25">
      <c r="A74" s="109" t="s">
        <v>294</v>
      </c>
      <c r="B74" s="23">
        <f>66765*1.04*1.1194</f>
        <v>77726.210640000005</v>
      </c>
      <c r="C74" s="108"/>
      <c r="D74" s="93"/>
    </row>
    <row r="75" spans="1:4" ht="47.25" x14ac:dyDescent="0.25">
      <c r="A75" s="118" t="s">
        <v>328</v>
      </c>
      <c r="B75" s="208">
        <f>SUM(B76:B76)</f>
        <v>441779.18012799998</v>
      </c>
      <c r="C75" s="108"/>
      <c r="D75" s="93"/>
    </row>
    <row r="76" spans="1:4" ht="15.75" x14ac:dyDescent="0.25">
      <c r="A76" s="109" t="s">
        <v>296</v>
      </c>
      <c r="B76" s="23">
        <f>379478*1.04*1.1194</f>
        <v>441779.18012799998</v>
      </c>
      <c r="C76" s="108"/>
      <c r="D76" s="93"/>
    </row>
    <row r="77" spans="1:4" s="79" customFormat="1" ht="15.75" x14ac:dyDescent="0.25">
      <c r="A77" s="116" t="s">
        <v>297</v>
      </c>
      <c r="B77" s="208">
        <f>SUM(B78:B81)</f>
        <v>143313.78345993871</v>
      </c>
      <c r="C77" s="108"/>
      <c r="D77" s="93"/>
    </row>
    <row r="78" spans="1:4" ht="32.25" thickBot="1" x14ac:dyDescent="0.3">
      <c r="A78" s="119" t="s">
        <v>329</v>
      </c>
      <c r="B78" s="23">
        <f>'[3]34тарифы'!D170*B15*1.1194</f>
        <v>110054.41919533204</v>
      </c>
      <c r="C78" s="96"/>
      <c r="D78" s="93"/>
    </row>
    <row r="79" spans="1:4" ht="16.5" hidden="1" thickBot="1" x14ac:dyDescent="0.3">
      <c r="A79" s="51" t="s">
        <v>299</v>
      </c>
      <c r="B79" s="23">
        <f>(B26/1.2)*30%</f>
        <v>0</v>
      </c>
      <c r="C79" s="98"/>
      <c r="D79" s="108"/>
    </row>
    <row r="80" spans="1:4" ht="15.75" x14ac:dyDescent="0.25">
      <c r="A80" s="120" t="s">
        <v>330</v>
      </c>
      <c r="B80" s="23">
        <f>14724.75+8510.48</f>
        <v>23235.23</v>
      </c>
      <c r="C80" s="117"/>
      <c r="D80" s="93"/>
    </row>
    <row r="81" spans="1:4" ht="15.75" x14ac:dyDescent="0.25">
      <c r="A81" s="120" t="s">
        <v>331</v>
      </c>
      <c r="B81" s="23">
        <f>'[3]34тарифы'!D173*B13*1.1194</f>
        <v>10024.134264606677</v>
      </c>
      <c r="C81" s="108"/>
      <c r="D81" s="93"/>
    </row>
    <row r="82" spans="1:4" ht="15.75" x14ac:dyDescent="0.25">
      <c r="A82" s="121" t="s">
        <v>302</v>
      </c>
      <c r="B82" s="28">
        <f>B32+B42+B46+B66+B75+B77</f>
        <v>1327168.6750761373</v>
      </c>
      <c r="C82" s="108"/>
      <c r="D82" s="93"/>
    </row>
    <row r="83" spans="1:4" ht="15.75" x14ac:dyDescent="0.25">
      <c r="A83" s="122" t="s">
        <v>303</v>
      </c>
      <c r="B83" s="23">
        <f>B82*0.03</f>
        <v>39815.060252284115</v>
      </c>
      <c r="C83" s="108"/>
      <c r="D83" s="93"/>
    </row>
    <row r="84" spans="1:4" s="103" customFormat="1" ht="15.75" x14ac:dyDescent="0.25">
      <c r="A84" s="123" t="s">
        <v>304</v>
      </c>
      <c r="B84" s="208">
        <f>B82+B83</f>
        <v>1366983.7353284215</v>
      </c>
      <c r="C84" s="108"/>
      <c r="D84" s="93"/>
    </row>
    <row r="85" spans="1:4" ht="16.5" thickBot="1" x14ac:dyDescent="0.3">
      <c r="A85" s="124" t="s">
        <v>305</v>
      </c>
      <c r="B85" s="240">
        <f>B84*0.2</f>
        <v>273396.74706568429</v>
      </c>
      <c r="C85" s="108"/>
      <c r="D85" s="93"/>
    </row>
    <row r="86" spans="1:4" s="79" customFormat="1" ht="16.5" thickBot="1" x14ac:dyDescent="0.3">
      <c r="A86" s="125" t="s">
        <v>306</v>
      </c>
      <c r="B86" s="66">
        <f>B84+B85</f>
        <v>1640380.4823941058</v>
      </c>
      <c r="C86" s="89"/>
      <c r="D86" s="126"/>
    </row>
    <row r="87" spans="1:4" s="79" customFormat="1" ht="16.5" thickBot="1" x14ac:dyDescent="0.3">
      <c r="A87" s="127" t="s">
        <v>307</v>
      </c>
      <c r="B87" s="296">
        <f>B10+B24+B26+B28+B29-B86</f>
        <v>-4365715.1323941052</v>
      </c>
      <c r="C87" s="128"/>
      <c r="D87" s="129"/>
    </row>
    <row r="88" spans="1:4" s="79" customFormat="1" ht="16.5" thickBot="1" x14ac:dyDescent="0.3">
      <c r="A88" s="130" t="s">
        <v>308</v>
      </c>
      <c r="B88" s="66">
        <f>B10+B25+B27+B28+B29-B86</f>
        <v>-4313586.9423941057</v>
      </c>
      <c r="C88" s="131"/>
      <c r="D88" s="129"/>
    </row>
    <row r="89" spans="1:4" s="79" customFormat="1" ht="16.5" hidden="1" thickBot="1" x14ac:dyDescent="0.3">
      <c r="A89" s="132" t="s">
        <v>309</v>
      </c>
      <c r="B89" s="66">
        <f>B11+B24-B25</f>
        <v>-52128.189999999944</v>
      </c>
      <c r="C89" s="129"/>
      <c r="D89" s="129"/>
    </row>
    <row r="90" spans="1:4" s="79" customFormat="1" ht="15.75" x14ac:dyDescent="0.25">
      <c r="A90" s="133"/>
      <c r="B90" s="242"/>
      <c r="C90" s="129"/>
      <c r="D90" s="129"/>
    </row>
    <row r="91" spans="1:4" ht="15.75" x14ac:dyDescent="0.25">
      <c r="A91" s="134"/>
      <c r="B91" s="3"/>
      <c r="C91" s="77"/>
      <c r="D91" s="77"/>
    </row>
    <row r="92" spans="1:4" ht="15.75" x14ac:dyDescent="0.25">
      <c r="A92" s="323" t="s">
        <v>332</v>
      </c>
      <c r="B92" s="323"/>
      <c r="C92" s="77"/>
      <c r="D92" s="77"/>
    </row>
    <row r="93" spans="1:4" ht="15.75" x14ac:dyDescent="0.25">
      <c r="A93" s="134"/>
      <c r="B93" s="3"/>
      <c r="C93" s="77"/>
      <c r="D93" s="77"/>
    </row>
    <row r="94" spans="1:4" ht="15.75" hidden="1" x14ac:dyDescent="0.25">
      <c r="A94" s="324" t="s">
        <v>333</v>
      </c>
      <c r="B94" s="324"/>
      <c r="C94" s="135"/>
      <c r="D94" s="77"/>
    </row>
    <row r="95" spans="1:4" ht="15.75" x14ac:dyDescent="0.25">
      <c r="A95" s="77"/>
      <c r="B95" s="3"/>
      <c r="C95" s="77"/>
      <c r="D95" s="77"/>
    </row>
  </sheetData>
  <autoFilter ref="A31:G89" xr:uid="{00000000-0009-0000-0000-00004E000000}">
    <filterColumn colId="1">
      <filters>
        <filter val="1 197,00"/>
        <filter val="1 453,50"/>
        <filter val="1 588 628,63"/>
        <filter val="1 636 287,49"/>
        <filter val="1 963 544,99"/>
        <filter val="10 024,13"/>
        <filter val="11 509,89"/>
        <filter val="110 054,42"/>
        <filter val="129 028,60"/>
        <filter val="13 510,75"/>
        <filter val="148 236,92"/>
        <filter val="155 153,20"/>
        <filter val="183 263,38"/>
        <filter val="2 629,43"/>
        <filter val="200 000,00"/>
        <filter val="21 101,59"/>
        <filter val="22 794,62"/>
        <filter val="25 267,28"/>
        <filter val="264 045,28"/>
        <filter val="27 822,36"/>
        <filter val="28 110,18"/>
        <filter val="28 158,37"/>
        <filter val="-3 985 003,89"/>
        <filter val="327 257,50"/>
        <filter val="-4 037 132,08"/>
        <filter val="422 275,28"/>
        <filter val="441 779,18"/>
        <filter val="47 658,86"/>
        <filter val="5 630,74"/>
        <filter val="50 531,40"/>
        <filter val="-52 128,19"/>
        <filter val="56 616,87"/>
        <filter val="57 471,16"/>
        <filter val="72 215,62"/>
        <filter val="73 661,86"/>
        <filter val="76 719,73"/>
        <filter val="77 726,21"/>
        <filter val="8 284,00"/>
        <filter val="9 205,14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74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>
    <pageSetUpPr fitToPage="1"/>
  </sheetPr>
  <dimension ref="A1:G95"/>
  <sheetViews>
    <sheetView view="pageBreakPreview" topLeftCell="A36" zoomScale="80" zoomScaleNormal="100" zoomScaleSheetLayoutView="80" workbookViewId="0">
      <selection activeCell="B81" sqref="B81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25" t="s">
        <v>224</v>
      </c>
      <c r="B1" s="325"/>
      <c r="C1" s="77"/>
      <c r="D1" s="77"/>
    </row>
    <row r="2" spans="1:4" ht="16.5" x14ac:dyDescent="0.25">
      <c r="A2" s="326" t="s">
        <v>225</v>
      </c>
      <c r="B2" s="326"/>
      <c r="C2" s="77"/>
      <c r="D2" s="77"/>
    </row>
    <row r="3" spans="1:4" ht="16.5" x14ac:dyDescent="0.25">
      <c r="A3" s="326" t="s">
        <v>226</v>
      </c>
      <c r="B3" s="326"/>
      <c r="C3" s="77"/>
      <c r="D3" s="77"/>
    </row>
    <row r="4" spans="1:4" ht="15.75" x14ac:dyDescent="0.25">
      <c r="A4" s="78" t="s">
        <v>516</v>
      </c>
      <c r="B4" s="78"/>
      <c r="C4" s="77"/>
      <c r="D4" s="77"/>
    </row>
    <row r="5" spans="1:4" ht="15.75" x14ac:dyDescent="0.25">
      <c r="A5" s="78" t="s">
        <v>30</v>
      </c>
      <c r="B5" s="78"/>
      <c r="C5" s="77"/>
      <c r="D5" s="77"/>
    </row>
    <row r="6" spans="1:4" ht="5.25" customHeight="1" x14ac:dyDescent="0.25">
      <c r="A6" s="78"/>
      <c r="B6" s="8"/>
      <c r="C6" s="79"/>
      <c r="D6" s="77"/>
    </row>
    <row r="7" spans="1:4" ht="16.5" thickBot="1" x14ac:dyDescent="0.3">
      <c r="A7" s="80"/>
      <c r="B7" s="8"/>
      <c r="C7" s="79"/>
      <c r="D7" s="77"/>
    </row>
    <row r="8" spans="1:4" ht="15.75" customHeight="1" x14ac:dyDescent="0.2">
      <c r="A8" s="327" t="s">
        <v>227</v>
      </c>
      <c r="B8" s="329" t="s">
        <v>228</v>
      </c>
      <c r="C8" s="331" t="s">
        <v>229</v>
      </c>
      <c r="D8" s="321" t="s">
        <v>230</v>
      </c>
    </row>
    <row r="9" spans="1:4" ht="28.5" customHeight="1" thickBot="1" x14ac:dyDescent="0.25">
      <c r="A9" s="328"/>
      <c r="B9" s="330"/>
      <c r="C9" s="332"/>
      <c r="D9" s="322"/>
    </row>
    <row r="10" spans="1:4" ht="16.5" thickBot="1" x14ac:dyDescent="0.25">
      <c r="A10" s="81" t="s">
        <v>231</v>
      </c>
      <c r="B10" s="302">
        <f>VLOOKUP(A5,мкд!S:T,2,FALSE)</f>
        <v>-208131.06</v>
      </c>
      <c r="C10" s="83"/>
      <c r="D10" s="84"/>
    </row>
    <row r="11" spans="1:4" ht="16.5" hidden="1" thickBot="1" x14ac:dyDescent="0.25">
      <c r="A11" s="85" t="s">
        <v>232</v>
      </c>
      <c r="B11" s="210"/>
      <c r="C11" s="84"/>
      <c r="D11" s="86"/>
    </row>
    <row r="12" spans="1:4" ht="16.5" thickBot="1" x14ac:dyDescent="0.3">
      <c r="A12" s="87" t="s">
        <v>233</v>
      </c>
      <c r="B12" s="217"/>
      <c r="C12" s="89" t="s">
        <v>234</v>
      </c>
      <c r="D12" s="90" t="s">
        <v>234</v>
      </c>
    </row>
    <row r="13" spans="1:4" ht="16.5" hidden="1" thickBot="1" x14ac:dyDescent="0.3">
      <c r="A13" s="91" t="s">
        <v>235</v>
      </c>
      <c r="B13" s="23">
        <v>1526.6</v>
      </c>
      <c r="C13" s="90" t="s">
        <v>234</v>
      </c>
      <c r="D13" s="92" t="s">
        <v>234</v>
      </c>
    </row>
    <row r="14" spans="1:4" ht="16.5" hidden="1" thickBot="1" x14ac:dyDescent="0.3">
      <c r="A14" s="91" t="s">
        <v>236</v>
      </c>
      <c r="B14" s="23">
        <v>234.5</v>
      </c>
      <c r="C14" s="93"/>
      <c r="D14" s="92"/>
    </row>
    <row r="15" spans="1:4" ht="16.5" hidden="1" thickBot="1" x14ac:dyDescent="0.3">
      <c r="A15" s="91" t="s">
        <v>237</v>
      </c>
      <c r="B15" s="23">
        <f>B13+B14</f>
        <v>1761.1</v>
      </c>
      <c r="C15" s="94"/>
      <c r="D15" s="95"/>
    </row>
    <row r="16" spans="1:4" ht="16.5" hidden="1" thickBot="1" x14ac:dyDescent="0.3">
      <c r="A16" s="91" t="s">
        <v>238</v>
      </c>
      <c r="B16" s="23">
        <f>405.5+400.2/3</f>
        <v>538.9</v>
      </c>
      <c r="C16" s="96" t="s">
        <v>234</v>
      </c>
      <c r="D16" s="95" t="s">
        <v>234</v>
      </c>
    </row>
    <row r="17" spans="1:7" ht="16.5" hidden="1" thickBot="1" x14ac:dyDescent="0.3">
      <c r="A17" s="91" t="s">
        <v>239</v>
      </c>
      <c r="B17" s="23">
        <v>0</v>
      </c>
      <c r="C17" s="90" t="s">
        <v>234</v>
      </c>
      <c r="D17" s="92" t="s">
        <v>234</v>
      </c>
      <c r="E17" s="77"/>
      <c r="F17" s="77"/>
      <c r="G17" s="77"/>
    </row>
    <row r="18" spans="1:7" ht="16.5" hidden="1" thickBot="1" x14ac:dyDescent="0.3">
      <c r="A18" s="91" t="s">
        <v>240</v>
      </c>
      <c r="B18" s="23">
        <v>598.70000000000005</v>
      </c>
      <c r="C18" s="95" t="s">
        <v>234</v>
      </c>
      <c r="D18" s="92" t="s">
        <v>234</v>
      </c>
      <c r="E18" s="77"/>
      <c r="F18" s="77"/>
      <c r="G18" s="77"/>
    </row>
    <row r="19" spans="1:7" ht="16.5" hidden="1" thickBot="1" x14ac:dyDescent="0.3">
      <c r="A19" s="91" t="s">
        <v>241</v>
      </c>
      <c r="B19" s="23">
        <v>0</v>
      </c>
      <c r="C19" s="95" t="s">
        <v>234</v>
      </c>
      <c r="D19" s="92" t="s">
        <v>234</v>
      </c>
      <c r="E19" s="77"/>
      <c r="F19" s="77"/>
      <c r="G19" s="77"/>
    </row>
    <row r="20" spans="1:7" ht="16.5" hidden="1" thickBot="1" x14ac:dyDescent="0.3">
      <c r="A20" s="91" t="s">
        <v>242</v>
      </c>
      <c r="B20" s="23">
        <v>759</v>
      </c>
      <c r="C20" s="95"/>
      <c r="D20" s="92"/>
      <c r="E20" s="77"/>
      <c r="F20" s="77"/>
      <c r="G20" s="77"/>
    </row>
    <row r="21" spans="1:7" ht="16.5" hidden="1" thickBot="1" x14ac:dyDescent="0.3">
      <c r="A21" s="91" t="s">
        <v>243</v>
      </c>
      <c r="B21" s="23">
        <v>0</v>
      </c>
      <c r="C21" s="95" t="s">
        <v>234</v>
      </c>
      <c r="D21" s="92" t="s">
        <v>234</v>
      </c>
      <c r="E21" s="77"/>
      <c r="F21" s="77"/>
      <c r="G21" s="77"/>
    </row>
    <row r="22" spans="1:7" ht="16.5" hidden="1" thickBot="1" x14ac:dyDescent="0.3">
      <c r="A22" s="91" t="s">
        <v>244</v>
      </c>
      <c r="B22" s="23">
        <v>56</v>
      </c>
      <c r="C22" s="93"/>
      <c r="D22" s="92"/>
      <c r="E22" s="77"/>
      <c r="F22" s="77"/>
      <c r="G22" s="77"/>
    </row>
    <row r="23" spans="1:7" ht="15.75" x14ac:dyDescent="0.25">
      <c r="A23" s="91"/>
      <c r="B23" s="23"/>
      <c r="C23" s="94"/>
      <c r="D23" s="95"/>
      <c r="E23" s="77"/>
      <c r="F23" s="77"/>
      <c r="G23" s="77"/>
    </row>
    <row r="24" spans="1:7" ht="15.75" x14ac:dyDescent="0.25">
      <c r="A24" s="97" t="s">
        <v>319</v>
      </c>
      <c r="B24" s="28">
        <f>VLOOKUP(A5,[2]Лист1!M$1:N$65536,2,FALSE)</f>
        <v>130564.32</v>
      </c>
      <c r="C24" s="92"/>
      <c r="D24" s="95"/>
      <c r="E24" s="26">
        <v>7.1300000156000003</v>
      </c>
      <c r="F24" s="77"/>
      <c r="G24" s="77"/>
    </row>
    <row r="25" spans="1:7" ht="16.5" thickBot="1" x14ac:dyDescent="0.3">
      <c r="A25" s="97" t="s">
        <v>320</v>
      </c>
      <c r="B25" s="28">
        <f>VLOOKUP(A5,[2]Лист1!M$1:O$65536,3,FALSE)</f>
        <v>131422.06</v>
      </c>
      <c r="C25" s="96"/>
      <c r="D25" s="95"/>
      <c r="E25" s="77"/>
      <c r="F25" s="77"/>
      <c r="G25" s="77"/>
    </row>
    <row r="26" spans="1:7" ht="15.75" x14ac:dyDescent="0.25">
      <c r="A26" s="97" t="s">
        <v>321</v>
      </c>
      <c r="B26" s="28">
        <v>33542.879999999997</v>
      </c>
      <c r="C26" s="90"/>
      <c r="D26" s="92"/>
      <c r="E26" s="77"/>
      <c r="F26" s="77"/>
      <c r="G26" s="77"/>
    </row>
    <row r="27" spans="1:7" ht="16.5" thickBot="1" x14ac:dyDescent="0.3">
      <c r="A27" s="97" t="s">
        <v>248</v>
      </c>
      <c r="B27" s="28">
        <v>25157.16</v>
      </c>
      <c r="C27" s="93"/>
      <c r="D27" s="92"/>
      <c r="E27" s="77"/>
      <c r="F27" s="77"/>
      <c r="G27" s="77"/>
    </row>
    <row r="28" spans="1:7" ht="16.5" thickBot="1" x14ac:dyDescent="0.3">
      <c r="A28" s="97" t="s">
        <v>249</v>
      </c>
      <c r="B28" s="28">
        <v>5781.48</v>
      </c>
      <c r="C28" s="89"/>
      <c r="D28" s="95"/>
      <c r="E28" s="77"/>
      <c r="F28" s="77"/>
      <c r="G28" s="77"/>
    </row>
    <row r="29" spans="1:7" ht="16.5" hidden="1" thickBot="1" x14ac:dyDescent="0.3">
      <c r="A29" s="97" t="s">
        <v>250</v>
      </c>
      <c r="B29" s="28"/>
      <c r="C29" s="98"/>
      <c r="D29" s="92"/>
      <c r="E29" s="77"/>
      <c r="F29" s="77"/>
      <c r="G29" s="77"/>
    </row>
    <row r="30" spans="1:7" ht="15.75" x14ac:dyDescent="0.25">
      <c r="A30" s="99"/>
      <c r="B30" s="23"/>
      <c r="C30" s="94"/>
      <c r="D30" s="95"/>
      <c r="E30" s="77"/>
      <c r="F30" s="77"/>
      <c r="G30" s="77"/>
    </row>
    <row r="31" spans="1:7" ht="15.75" x14ac:dyDescent="0.25">
      <c r="A31" s="100" t="s">
        <v>251</v>
      </c>
      <c r="B31" s="23"/>
      <c r="C31" s="92"/>
      <c r="D31" s="95"/>
      <c r="E31" s="77"/>
      <c r="F31" s="77"/>
      <c r="G31" s="77"/>
    </row>
    <row r="32" spans="1:7" s="103" customFormat="1" ht="31.5" x14ac:dyDescent="0.25">
      <c r="A32" s="101" t="s">
        <v>252</v>
      </c>
      <c r="B32" s="208">
        <f>SUM(B33:B41)</f>
        <v>39958.399647999999</v>
      </c>
      <c r="C32" s="92"/>
      <c r="D32" s="95"/>
      <c r="E32" s="102">
        <f>(B86-B26-B24)/1.2/1.03</f>
        <v>219701.97532850516</v>
      </c>
      <c r="F32" s="102" t="e">
        <f>(#REF!-#REF!-#REF!)/1.2/1.03</f>
        <v>#REF!</v>
      </c>
      <c r="G32" s="102" t="e">
        <f>(#REF!-#REF!-#REF!)/1.2/1.03</f>
        <v>#REF!</v>
      </c>
    </row>
    <row r="33" spans="1:7" ht="16.5" thickBot="1" x14ac:dyDescent="0.3">
      <c r="A33" s="104" t="s">
        <v>253</v>
      </c>
      <c r="B33" s="23">
        <f>17717.92*1.1194</f>
        <v>19833.439647999996</v>
      </c>
      <c r="C33" s="96"/>
      <c r="D33" s="95">
        <v>30181</v>
      </c>
      <c r="E33" s="77"/>
      <c r="F33" s="77"/>
      <c r="G33" s="77"/>
    </row>
    <row r="34" spans="1:7" ht="15.75" hidden="1" x14ac:dyDescent="0.25">
      <c r="A34" s="104" t="s">
        <v>322</v>
      </c>
      <c r="B34" s="23">
        <v>0</v>
      </c>
      <c r="C34" s="90"/>
      <c r="D34" s="92">
        <v>0</v>
      </c>
      <c r="E34" s="77"/>
      <c r="F34" s="77"/>
      <c r="G34" s="77"/>
    </row>
    <row r="35" spans="1:7" ht="15.75" x14ac:dyDescent="0.25">
      <c r="A35" s="104" t="s">
        <v>256</v>
      </c>
      <c r="B35" s="23">
        <v>9191.77</v>
      </c>
      <c r="C35" s="95"/>
      <c r="D35" s="92">
        <v>0</v>
      </c>
      <c r="E35" s="77"/>
      <c r="F35" s="77"/>
      <c r="G35" s="77"/>
    </row>
    <row r="36" spans="1:7" ht="16.5" thickBot="1" x14ac:dyDescent="0.3">
      <c r="A36" s="104" t="s">
        <v>255</v>
      </c>
      <c r="B36" s="23">
        <v>10933.19</v>
      </c>
      <c r="C36" s="95" t="s">
        <v>234</v>
      </c>
      <c r="D36" s="92">
        <v>0</v>
      </c>
      <c r="E36" s="77"/>
      <c r="F36" s="77"/>
      <c r="G36" s="77"/>
    </row>
    <row r="37" spans="1:7" ht="16.5" hidden="1" thickBot="1" x14ac:dyDescent="0.3">
      <c r="A37" s="104" t="s">
        <v>257</v>
      </c>
      <c r="B37" s="23">
        <v>0</v>
      </c>
      <c r="C37" s="95"/>
      <c r="D37" s="92">
        <v>0</v>
      </c>
      <c r="E37" s="77"/>
      <c r="F37" s="77"/>
      <c r="G37" s="77"/>
    </row>
    <row r="38" spans="1:7" ht="16.5" hidden="1" thickBot="1" x14ac:dyDescent="0.3">
      <c r="A38" s="104" t="s">
        <v>258</v>
      </c>
      <c r="B38" s="23">
        <v>0</v>
      </c>
      <c r="C38" s="95"/>
      <c r="D38" s="92">
        <v>0</v>
      </c>
      <c r="E38" s="77"/>
      <c r="F38" s="77"/>
      <c r="G38" s="77"/>
    </row>
    <row r="39" spans="1:7" ht="16.5" hidden="1" thickBot="1" x14ac:dyDescent="0.3">
      <c r="A39" s="104" t="s">
        <v>324</v>
      </c>
      <c r="B39" s="23">
        <v>0</v>
      </c>
      <c r="C39" s="95"/>
      <c r="D39" s="92">
        <v>0</v>
      </c>
      <c r="E39" s="77"/>
      <c r="F39" s="77"/>
      <c r="G39" s="77"/>
    </row>
    <row r="40" spans="1:7" ht="16.5" hidden="1" thickBot="1" x14ac:dyDescent="0.3">
      <c r="A40" s="104" t="s">
        <v>312</v>
      </c>
      <c r="B40" s="23">
        <v>0</v>
      </c>
      <c r="C40" s="95"/>
      <c r="D40" s="92"/>
      <c r="E40" s="77"/>
      <c r="F40" s="77"/>
      <c r="G40" s="77"/>
    </row>
    <row r="41" spans="1:7" ht="16.5" hidden="1" thickBot="1" x14ac:dyDescent="0.3">
      <c r="A41" s="104" t="s">
        <v>498</v>
      </c>
      <c r="B41" s="23">
        <v>0</v>
      </c>
      <c r="C41" s="93"/>
      <c r="D41" s="92"/>
      <c r="E41" s="77"/>
      <c r="F41" s="77"/>
      <c r="G41" s="77"/>
    </row>
    <row r="42" spans="1:7" s="103" customFormat="1" ht="48" thickBot="1" x14ac:dyDescent="0.3">
      <c r="A42" s="101" t="s">
        <v>325</v>
      </c>
      <c r="B42" s="208">
        <f>SUM(B43:B45)</f>
        <v>68810.522086038662</v>
      </c>
      <c r="C42" s="89"/>
      <c r="D42" s="95"/>
      <c r="E42" s="102"/>
      <c r="F42" s="102"/>
      <c r="G42" s="102"/>
    </row>
    <row r="43" spans="1:7" ht="15.75" hidden="1" x14ac:dyDescent="0.25">
      <c r="A43" s="104" t="s">
        <v>262</v>
      </c>
      <c r="B43" s="23"/>
      <c r="C43" s="98"/>
      <c r="D43" s="108"/>
      <c r="E43" s="77"/>
      <c r="F43" s="77"/>
      <c r="G43" s="77"/>
    </row>
    <row r="44" spans="1:7" ht="15.75" x14ac:dyDescent="0.25">
      <c r="A44" s="104" t="s">
        <v>263</v>
      </c>
      <c r="B44" s="23">
        <v>58153.84</v>
      </c>
      <c r="C44" s="93"/>
      <c r="D44" s="108"/>
      <c r="E44" s="77"/>
      <c r="F44" s="77"/>
      <c r="G44" s="77"/>
    </row>
    <row r="45" spans="1:7" ht="16.5" thickBot="1" x14ac:dyDescent="0.3">
      <c r="A45" s="109" t="s">
        <v>264</v>
      </c>
      <c r="B45" s="23">
        <f>('[3]34тарифы'!D163*B15+176.54)*1.1194</f>
        <v>10656.682086038665</v>
      </c>
      <c r="C45" s="93"/>
      <c r="D45" s="108"/>
      <c r="E45" s="77"/>
      <c r="F45" s="77"/>
      <c r="G45" s="77"/>
    </row>
    <row r="46" spans="1:7" s="79" customFormat="1" ht="16.5" thickBot="1" x14ac:dyDescent="0.3">
      <c r="A46" s="101" t="s">
        <v>265</v>
      </c>
      <c r="B46" s="208">
        <f>SUM(B47:B65)</f>
        <v>36656.589999999997</v>
      </c>
      <c r="C46" s="89"/>
      <c r="D46" s="95"/>
    </row>
    <row r="47" spans="1:7" ht="15.75" x14ac:dyDescent="0.25">
      <c r="A47" s="104" t="s">
        <v>326</v>
      </c>
      <c r="B47" s="229">
        <v>1317.14</v>
      </c>
      <c r="C47" s="90"/>
      <c r="D47" s="92"/>
      <c r="E47" s="77" t="s">
        <v>267</v>
      </c>
      <c r="F47" s="77"/>
      <c r="G47" s="77"/>
    </row>
    <row r="48" spans="1:7" ht="15.75" x14ac:dyDescent="0.25">
      <c r="A48" s="104" t="s">
        <v>317</v>
      </c>
      <c r="B48" s="229">
        <v>3365.52</v>
      </c>
      <c r="C48" s="95"/>
      <c r="D48" s="92"/>
      <c r="E48" s="77" t="s">
        <v>269</v>
      </c>
      <c r="F48" s="77"/>
      <c r="G48" s="77"/>
    </row>
    <row r="49" spans="1:6" ht="15.75" x14ac:dyDescent="0.25">
      <c r="A49" s="110" t="s">
        <v>282</v>
      </c>
      <c r="B49" s="23">
        <v>19.399999999999999</v>
      </c>
      <c r="C49" s="95"/>
      <c r="D49" s="92"/>
      <c r="E49" s="77"/>
      <c r="F49" s="77"/>
    </row>
    <row r="50" spans="1:6" ht="15.75" x14ac:dyDescent="0.25">
      <c r="A50" s="110" t="s">
        <v>542</v>
      </c>
      <c r="B50" s="229">
        <v>4200</v>
      </c>
      <c r="C50" s="95"/>
      <c r="D50" s="92">
        <v>4190</v>
      </c>
      <c r="E50" s="77"/>
      <c r="F50" s="77"/>
    </row>
    <row r="51" spans="1:6" ht="15.75" hidden="1" x14ac:dyDescent="0.25">
      <c r="A51" s="110" t="s">
        <v>490</v>
      </c>
      <c r="B51" s="23"/>
      <c r="C51" s="95"/>
      <c r="D51" s="92"/>
      <c r="E51" s="77"/>
      <c r="F51" s="77"/>
    </row>
    <row r="52" spans="1:6" ht="15.75" hidden="1" x14ac:dyDescent="0.25">
      <c r="A52" s="110" t="s">
        <v>273</v>
      </c>
      <c r="B52" s="23">
        <f>B21*'[3]34тарифы'!D177</f>
        <v>0</v>
      </c>
      <c r="C52" s="95"/>
      <c r="D52" s="92">
        <v>105.14</v>
      </c>
      <c r="E52" s="77"/>
      <c r="F52" s="77"/>
    </row>
    <row r="53" spans="1:6" ht="15.75" hidden="1" x14ac:dyDescent="0.25">
      <c r="A53" s="110" t="s">
        <v>274</v>
      </c>
      <c r="B53" s="23">
        <v>0</v>
      </c>
      <c r="C53" s="95">
        <v>0</v>
      </c>
      <c r="D53" s="92">
        <v>522.99</v>
      </c>
      <c r="E53" s="77"/>
      <c r="F53" s="77"/>
    </row>
    <row r="54" spans="1:6" ht="15.75" x14ac:dyDescent="0.25">
      <c r="A54" s="143" t="s">
        <v>275</v>
      </c>
      <c r="B54" s="23">
        <v>6100</v>
      </c>
      <c r="C54" s="95">
        <v>0</v>
      </c>
      <c r="D54" s="111">
        <v>695.13</v>
      </c>
      <c r="E54" s="77"/>
      <c r="F54" s="272">
        <f>B46+435.87-B59</f>
        <v>37092.46</v>
      </c>
    </row>
    <row r="55" spans="1:6" ht="15.75" hidden="1" x14ac:dyDescent="0.25">
      <c r="A55" s="110" t="s">
        <v>276</v>
      </c>
      <c r="B55" s="23">
        <v>0</v>
      </c>
      <c r="C55" s="95"/>
      <c r="D55" s="111"/>
      <c r="E55" s="77"/>
      <c r="F55" s="77"/>
    </row>
    <row r="56" spans="1:6" ht="15.75" hidden="1" x14ac:dyDescent="0.25">
      <c r="A56" s="110" t="s">
        <v>277</v>
      </c>
      <c r="B56" s="23">
        <v>0</v>
      </c>
      <c r="C56" s="95">
        <v>0</v>
      </c>
      <c r="D56" s="92">
        <f>10695.76/1.18</f>
        <v>9064.203389830509</v>
      </c>
      <c r="E56" s="77"/>
      <c r="F56" s="77"/>
    </row>
    <row r="57" spans="1:6" ht="15.75" hidden="1" x14ac:dyDescent="0.25">
      <c r="A57" s="110" t="s">
        <v>314</v>
      </c>
      <c r="B57" s="23">
        <v>0</v>
      </c>
      <c r="C57" s="95">
        <v>0</v>
      </c>
      <c r="D57" s="92">
        <f>2300/1.18</f>
        <v>1949.1525423728815</v>
      </c>
      <c r="E57" s="77"/>
      <c r="F57" s="77"/>
    </row>
    <row r="58" spans="1:6" ht="15.75" hidden="1" x14ac:dyDescent="0.25">
      <c r="A58" s="110" t="s">
        <v>396</v>
      </c>
      <c r="B58" s="23"/>
      <c r="C58" s="93">
        <v>0</v>
      </c>
      <c r="D58" s="92">
        <v>0</v>
      </c>
      <c r="E58" s="77"/>
      <c r="F58" s="77"/>
    </row>
    <row r="59" spans="1:6" ht="16.5" hidden="1" thickBot="1" x14ac:dyDescent="0.3">
      <c r="A59" s="110" t="s">
        <v>279</v>
      </c>
      <c r="B59" s="23">
        <f>B13*'[3]34тарифы'!D184</f>
        <v>0</v>
      </c>
      <c r="C59" s="89"/>
      <c r="D59" s="95"/>
      <c r="E59" s="77"/>
      <c r="F59" s="77"/>
    </row>
    <row r="60" spans="1:6" ht="15.75" hidden="1" x14ac:dyDescent="0.25">
      <c r="A60" s="104" t="s">
        <v>280</v>
      </c>
      <c r="B60" s="23">
        <v>0</v>
      </c>
      <c r="C60" s="90"/>
      <c r="D60" s="92"/>
      <c r="E60" s="77"/>
      <c r="F60" s="77"/>
    </row>
    <row r="61" spans="1:6" ht="15.75" hidden="1" x14ac:dyDescent="0.25">
      <c r="A61" s="104" t="s">
        <v>348</v>
      </c>
      <c r="B61" s="23"/>
      <c r="C61" s="95"/>
      <c r="D61" s="92">
        <v>0</v>
      </c>
      <c r="E61" s="77"/>
      <c r="F61" s="77"/>
    </row>
    <row r="62" spans="1:6" ht="15.75" x14ac:dyDescent="0.25">
      <c r="A62" s="104" t="s">
        <v>555</v>
      </c>
      <c r="B62" s="23">
        <v>15912</v>
      </c>
      <c r="C62" s="95"/>
      <c r="D62" s="92">
        <v>0</v>
      </c>
      <c r="E62" s="77"/>
      <c r="F62" s="77"/>
    </row>
    <row r="63" spans="1:6" ht="16.5" thickBot="1" x14ac:dyDescent="0.3">
      <c r="A63" s="104" t="s">
        <v>341</v>
      </c>
      <c r="B63" s="229">
        <v>5742.53</v>
      </c>
      <c r="C63" s="113">
        <v>1</v>
      </c>
      <c r="D63" s="92">
        <v>0</v>
      </c>
      <c r="E63" s="77"/>
      <c r="F63" s="77"/>
    </row>
    <row r="64" spans="1:6" ht="16.5" hidden="1" thickBot="1" x14ac:dyDescent="0.3">
      <c r="A64" s="104" t="s">
        <v>284</v>
      </c>
      <c r="B64" s="229">
        <v>0</v>
      </c>
      <c r="C64" s="114">
        <v>20</v>
      </c>
      <c r="D64" s="95">
        <v>2</v>
      </c>
      <c r="E64" s="77">
        <v>1</v>
      </c>
      <c r="F64" s="77"/>
    </row>
    <row r="65" spans="1:4" s="79" customFormat="1" ht="16.5" hidden="1" thickBot="1" x14ac:dyDescent="0.3">
      <c r="A65" s="104" t="s">
        <v>285</v>
      </c>
      <c r="B65" s="229">
        <v>0</v>
      </c>
      <c r="C65" s="115"/>
      <c r="D65" s="108">
        <v>0</v>
      </c>
    </row>
    <row r="66" spans="1:4" s="79" customFormat="1" ht="16.5" thickBot="1" x14ac:dyDescent="0.3">
      <c r="A66" s="116" t="s">
        <v>286</v>
      </c>
      <c r="B66" s="208">
        <f>SUM(B67:B74)</f>
        <v>94907.598152427323</v>
      </c>
      <c r="C66" s="89"/>
      <c r="D66" s="93"/>
    </row>
    <row r="67" spans="1:4" ht="16.5" hidden="1" thickBot="1" x14ac:dyDescent="0.3">
      <c r="A67" s="104" t="s">
        <v>287</v>
      </c>
      <c r="B67" s="23">
        <v>0</v>
      </c>
      <c r="C67" s="98"/>
      <c r="D67" s="108"/>
    </row>
    <row r="68" spans="1:4" ht="16.5" thickBot="1" x14ac:dyDescent="0.3">
      <c r="A68" s="104" t="s">
        <v>288</v>
      </c>
      <c r="B68" s="23">
        <f>19664*1.04*1.1194</f>
        <v>22892.356864000001</v>
      </c>
      <c r="C68" s="89"/>
      <c r="D68" s="93"/>
    </row>
    <row r="69" spans="1:4" ht="15.75" hidden="1" x14ac:dyDescent="0.25">
      <c r="A69" s="104" t="s">
        <v>289</v>
      </c>
      <c r="B69" s="23">
        <v>0</v>
      </c>
      <c r="C69" s="98"/>
      <c r="D69" s="108"/>
    </row>
    <row r="70" spans="1:4" ht="16.5" thickBot="1" x14ac:dyDescent="0.3">
      <c r="A70" s="109" t="s">
        <v>290</v>
      </c>
      <c r="B70" s="23">
        <f>'[3]34тарифы'!D164*B13*1.1194</f>
        <v>1883.9881971048728</v>
      </c>
      <c r="C70" s="93"/>
      <c r="D70" s="108"/>
    </row>
    <row r="71" spans="1:4" ht="15.75" x14ac:dyDescent="0.25">
      <c r="A71" s="109" t="s">
        <v>291</v>
      </c>
      <c r="B71" s="23">
        <f>VLOOKUP(A71,[2]Лист1!S$1:T$65536,2,FALSE)*B15</f>
        <v>8144.9199034467911</v>
      </c>
      <c r="C71" s="117"/>
      <c r="D71" s="93"/>
    </row>
    <row r="72" spans="1:4" ht="15.75" x14ac:dyDescent="0.25">
      <c r="A72" s="109" t="s">
        <v>292</v>
      </c>
      <c r="B72" s="23">
        <f>VLOOKUP(A72,[2]Лист1!S$1:T$65536,2,FALSE)*B15</f>
        <v>28432.452515875666</v>
      </c>
      <c r="C72" s="108"/>
      <c r="D72" s="93"/>
    </row>
    <row r="73" spans="1:4" ht="15.75" x14ac:dyDescent="0.25">
      <c r="A73" s="41" t="s">
        <v>293</v>
      </c>
      <c r="B73" s="23">
        <f>3052*1.04*1.1194</f>
        <v>3553.0651519999997</v>
      </c>
      <c r="C73" s="108"/>
      <c r="D73" s="93"/>
    </row>
    <row r="74" spans="1:4" ht="15.75" x14ac:dyDescent="0.25">
      <c r="A74" s="109" t="s">
        <v>294</v>
      </c>
      <c r="B74" s="23">
        <f>25770*1.04*1.1194</f>
        <v>30000.815519999996</v>
      </c>
      <c r="C74" s="108"/>
      <c r="D74" s="93"/>
    </row>
    <row r="75" spans="1:4" ht="47.25" x14ac:dyDescent="0.25">
      <c r="A75" s="118" t="s">
        <v>328</v>
      </c>
      <c r="B75" s="208">
        <f>SUM(B76:B76)</f>
        <v>51925.954911660025</v>
      </c>
      <c r="C75" s="108"/>
      <c r="D75" s="93"/>
    </row>
    <row r="76" spans="1:4" ht="15.75" x14ac:dyDescent="0.25">
      <c r="A76" s="109" t="s">
        <v>296</v>
      </c>
      <c r="B76" s="23">
        <f>'[3]34ОЭР'!D38*1.1194</f>
        <v>51925.954911660025</v>
      </c>
      <c r="C76" s="108"/>
      <c r="D76" s="93"/>
    </row>
    <row r="77" spans="1:4" s="79" customFormat="1" ht="15.75" x14ac:dyDescent="0.25">
      <c r="A77" s="116" t="s">
        <v>297</v>
      </c>
      <c r="B77" s="208">
        <f>SUM(B78:B81)</f>
        <v>60215.726064359747</v>
      </c>
      <c r="C77" s="108"/>
      <c r="D77" s="93"/>
    </row>
    <row r="78" spans="1:4" ht="32.25" thickBot="1" x14ac:dyDescent="0.3">
      <c r="A78" s="119" t="s">
        <v>329</v>
      </c>
      <c r="B78" s="23">
        <f>'[3]34тарифы'!D170*B15*1.1194</f>
        <v>42479.471714570471</v>
      </c>
      <c r="C78" s="96"/>
      <c r="D78" s="93"/>
    </row>
    <row r="79" spans="1:4" ht="16.5" thickBot="1" x14ac:dyDescent="0.3">
      <c r="A79" s="51" t="s">
        <v>299</v>
      </c>
      <c r="B79" s="23">
        <f>(B26/1.2)*30%</f>
        <v>8385.7199999999993</v>
      </c>
      <c r="C79" s="98"/>
      <c r="D79" s="108"/>
    </row>
    <row r="80" spans="1:4" ht="15.75" x14ac:dyDescent="0.25">
      <c r="A80" s="120" t="s">
        <v>330</v>
      </c>
      <c r="B80" s="23">
        <f>3308.42+2688.14</f>
        <v>5996.5599999999995</v>
      </c>
      <c r="C80" s="117"/>
      <c r="D80" s="93"/>
    </row>
    <row r="81" spans="1:4" ht="15.75" x14ac:dyDescent="0.25">
      <c r="A81" s="120" t="s">
        <v>331</v>
      </c>
      <c r="B81" s="23">
        <f>'[3]34тарифы'!D173*B13*1.1194</f>
        <v>3353.9743497892759</v>
      </c>
      <c r="C81" s="108"/>
      <c r="D81" s="93"/>
    </row>
    <row r="82" spans="1:4" ht="15.75" x14ac:dyDescent="0.25">
      <c r="A82" s="121" t="s">
        <v>302</v>
      </c>
      <c r="B82" s="28">
        <f>B32+B42+B46+B66+B75+B77</f>
        <v>352474.79086248577</v>
      </c>
      <c r="C82" s="108"/>
      <c r="D82" s="93"/>
    </row>
    <row r="83" spans="1:4" ht="15.75" x14ac:dyDescent="0.25">
      <c r="A83" s="122" t="s">
        <v>303</v>
      </c>
      <c r="B83" s="23">
        <f>B82*0.03</f>
        <v>10574.243725874572</v>
      </c>
      <c r="C83" s="108"/>
      <c r="D83" s="93"/>
    </row>
    <row r="84" spans="1:4" s="103" customFormat="1" ht="15.75" x14ac:dyDescent="0.25">
      <c r="A84" s="123" t="s">
        <v>304</v>
      </c>
      <c r="B84" s="208">
        <f>B82+B83</f>
        <v>363049.03458836034</v>
      </c>
      <c r="C84" s="108"/>
      <c r="D84" s="93"/>
    </row>
    <row r="85" spans="1:4" ht="16.5" thickBot="1" x14ac:dyDescent="0.3">
      <c r="A85" s="124" t="s">
        <v>305</v>
      </c>
      <c r="B85" s="240">
        <f>B84*0.2</f>
        <v>72609.806917672075</v>
      </c>
      <c r="C85" s="108"/>
      <c r="D85" s="93"/>
    </row>
    <row r="86" spans="1:4" s="79" customFormat="1" ht="16.5" thickBot="1" x14ac:dyDescent="0.3">
      <c r="A86" s="125" t="s">
        <v>306</v>
      </c>
      <c r="B86" s="66">
        <f>B84+B85</f>
        <v>435658.84150603239</v>
      </c>
      <c r="C86" s="89"/>
      <c r="D86" s="126"/>
    </row>
    <row r="87" spans="1:4" s="79" customFormat="1" ht="16.5" thickBot="1" x14ac:dyDescent="0.3">
      <c r="A87" s="127" t="s">
        <v>307</v>
      </c>
      <c r="B87" s="296">
        <f>B10+B24+B26+B28+B29-B86</f>
        <v>-473901.22150603239</v>
      </c>
      <c r="C87" s="128"/>
      <c r="D87" s="129"/>
    </row>
    <row r="88" spans="1:4" s="79" customFormat="1" ht="16.5" thickBot="1" x14ac:dyDescent="0.3">
      <c r="A88" s="130" t="s">
        <v>308</v>
      </c>
      <c r="B88" s="66">
        <f>B10+B25+B27+B28+B29-B86</f>
        <v>-481429.20150603238</v>
      </c>
      <c r="C88" s="131"/>
      <c r="D88" s="129"/>
    </row>
    <row r="89" spans="1:4" s="79" customFormat="1" ht="16.5" hidden="1" thickBot="1" x14ac:dyDescent="0.3">
      <c r="A89" s="132" t="s">
        <v>309</v>
      </c>
      <c r="B89" s="66">
        <f>B11+B24-B25</f>
        <v>-857.73999999999069</v>
      </c>
      <c r="C89" s="129"/>
      <c r="D89" s="129"/>
    </row>
    <row r="90" spans="1:4" s="79" customFormat="1" ht="15.75" x14ac:dyDescent="0.25">
      <c r="A90" s="133"/>
      <c r="B90" s="242"/>
      <c r="C90" s="129"/>
      <c r="D90" s="129"/>
    </row>
    <row r="91" spans="1:4" ht="15.75" x14ac:dyDescent="0.25">
      <c r="A91" s="134"/>
      <c r="B91" s="3"/>
      <c r="C91" s="77"/>
      <c r="D91" s="77"/>
    </row>
    <row r="92" spans="1:4" ht="15.75" x14ac:dyDescent="0.25">
      <c r="A92" s="323" t="s">
        <v>332</v>
      </c>
      <c r="B92" s="323"/>
      <c r="C92" s="77"/>
      <c r="D92" s="77"/>
    </row>
    <row r="93" spans="1:4" ht="15.75" x14ac:dyDescent="0.25">
      <c r="A93" s="134"/>
      <c r="B93" s="3"/>
      <c r="C93" s="77"/>
      <c r="D93" s="77"/>
    </row>
    <row r="94" spans="1:4" ht="15.75" hidden="1" x14ac:dyDescent="0.25">
      <c r="A94" s="324" t="s">
        <v>333</v>
      </c>
      <c r="B94" s="324"/>
      <c r="C94" s="135"/>
      <c r="D94" s="77"/>
    </row>
    <row r="95" spans="1:4" ht="15.75" x14ac:dyDescent="0.25">
      <c r="A95" s="77"/>
      <c r="B95" s="3"/>
      <c r="C95" s="77"/>
      <c r="D95" s="77"/>
    </row>
  </sheetData>
  <autoFilter ref="A31:G89" xr:uid="{00000000-0009-0000-0000-000007000000}">
    <filterColumn colId="1">
      <filters>
        <filter val="1 436,88"/>
        <filter val="1 883,99"/>
        <filter val="10 595,62"/>
        <filter val="10 656,68"/>
        <filter val="10 933,19"/>
        <filter val="11 509,89"/>
        <filter val="18 586,16"/>
        <filter val="19 833,44"/>
        <filter val="2 688,14"/>
        <filter val="-208 131,06"/>
        <filter val="-215 659,04"/>
        <filter val="22 892,36"/>
        <filter val="28 432,45"/>
        <filter val="3 353,97"/>
        <filter val="3 365,50"/>
        <filter val="3 553,07"/>
        <filter val="30 000,82"/>
        <filter val="353 187,26"/>
        <filter val="363 782,88"/>
        <filter val="39 958,40"/>
        <filter val="4 604,93"/>
        <filter val="40 677,48"/>
        <filter val="42 479,47"/>
        <filter val="436 539,45"/>
        <filter val="496,12"/>
        <filter val="51 925,95"/>
        <filter val="56 907,31"/>
        <filter val="58 153,84"/>
        <filter val="678,00"/>
        <filter val="68 810,52"/>
        <filter val="72 756,58"/>
        <filter val="8 144,92"/>
        <filter val="8 385,72"/>
        <filter val="-857,74"/>
        <filter val="9 191,77"/>
        <filter val="94 907,60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78"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 filterMode="1">
    <pageSetUpPr fitToPage="1"/>
  </sheetPr>
  <dimension ref="A1:G95"/>
  <sheetViews>
    <sheetView tabSelected="1" view="pageBreakPreview" topLeftCell="A44" zoomScaleNormal="100" zoomScaleSheetLayoutView="100" workbookViewId="0">
      <selection activeCell="B81" sqref="B81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25" t="s">
        <v>224</v>
      </c>
      <c r="B1" s="325"/>
      <c r="C1" s="77"/>
      <c r="D1" s="77"/>
    </row>
    <row r="2" spans="1:4" ht="16.5" x14ac:dyDescent="0.25">
      <c r="A2" s="326" t="s">
        <v>225</v>
      </c>
      <c r="B2" s="326"/>
      <c r="C2" s="77"/>
      <c r="D2" s="77"/>
    </row>
    <row r="3" spans="1:4" ht="16.5" x14ac:dyDescent="0.25">
      <c r="A3" s="326" t="s">
        <v>226</v>
      </c>
      <c r="B3" s="326"/>
      <c r="C3" s="77"/>
      <c r="D3" s="77"/>
    </row>
    <row r="4" spans="1:4" ht="15.75" x14ac:dyDescent="0.25">
      <c r="A4" s="78" t="s">
        <v>516</v>
      </c>
      <c r="B4" s="78"/>
      <c r="C4" s="77"/>
      <c r="D4" s="77"/>
    </row>
    <row r="5" spans="1:4" ht="15.75" x14ac:dyDescent="0.25">
      <c r="A5" s="78" t="s">
        <v>218</v>
      </c>
      <c r="B5" s="78"/>
      <c r="C5" s="77"/>
      <c r="D5" s="77"/>
    </row>
    <row r="6" spans="1:4" ht="5.25" customHeight="1" x14ac:dyDescent="0.25">
      <c r="A6" s="78"/>
      <c r="B6" s="8"/>
      <c r="C6" s="79"/>
      <c r="D6" s="77"/>
    </row>
    <row r="7" spans="1:4" ht="16.5" thickBot="1" x14ac:dyDescent="0.3">
      <c r="A7" s="80"/>
      <c r="B7" s="8"/>
      <c r="C7" s="79"/>
      <c r="D7" s="77"/>
    </row>
    <row r="8" spans="1:4" ht="15.75" customHeight="1" x14ac:dyDescent="0.2">
      <c r="A8" s="327" t="s">
        <v>227</v>
      </c>
      <c r="B8" s="329" t="s">
        <v>228</v>
      </c>
      <c r="C8" s="331" t="s">
        <v>229</v>
      </c>
      <c r="D8" s="321" t="s">
        <v>230</v>
      </c>
    </row>
    <row r="9" spans="1:4" ht="28.5" customHeight="1" thickBot="1" x14ac:dyDescent="0.25">
      <c r="A9" s="328"/>
      <c r="B9" s="330"/>
      <c r="C9" s="332"/>
      <c r="D9" s="322"/>
    </row>
    <row r="10" spans="1:4" ht="16.5" thickBot="1" x14ac:dyDescent="0.25">
      <c r="A10" s="81" t="s">
        <v>231</v>
      </c>
      <c r="B10" s="302">
        <f>VLOOKUP(A5,мкд!S:T,2,FALSE)</f>
        <v>-1102370.8500000001</v>
      </c>
      <c r="C10" s="83"/>
      <c r="D10" s="84"/>
    </row>
    <row r="11" spans="1:4" ht="16.5" hidden="1" thickBot="1" x14ac:dyDescent="0.25">
      <c r="A11" s="85" t="s">
        <v>232</v>
      </c>
      <c r="B11" s="210"/>
      <c r="C11" s="84"/>
      <c r="D11" s="86"/>
    </row>
    <row r="12" spans="1:4" ht="16.5" thickBot="1" x14ac:dyDescent="0.3">
      <c r="A12" s="87" t="s">
        <v>233</v>
      </c>
      <c r="B12" s="217"/>
      <c r="C12" s="89" t="s">
        <v>234</v>
      </c>
      <c r="D12" s="90" t="s">
        <v>234</v>
      </c>
    </row>
    <row r="13" spans="1:4" ht="16.5" hidden="1" thickBot="1" x14ac:dyDescent="0.3">
      <c r="A13" s="91" t="s">
        <v>235</v>
      </c>
      <c r="B13" s="23">
        <v>2917</v>
      </c>
      <c r="C13" s="90" t="s">
        <v>234</v>
      </c>
      <c r="D13" s="92" t="s">
        <v>234</v>
      </c>
    </row>
    <row r="14" spans="1:4" ht="16.5" hidden="1" thickBot="1" x14ac:dyDescent="0.3">
      <c r="A14" s="91" t="s">
        <v>236</v>
      </c>
      <c r="B14" s="23">
        <v>0</v>
      </c>
      <c r="C14" s="93"/>
      <c r="D14" s="92"/>
    </row>
    <row r="15" spans="1:4" ht="15.75" x14ac:dyDescent="0.25">
      <c r="A15" s="91" t="s">
        <v>237</v>
      </c>
      <c r="B15" s="23">
        <f>B13+B14</f>
        <v>2917</v>
      </c>
      <c r="C15" s="94"/>
      <c r="D15" s="95"/>
    </row>
    <row r="16" spans="1:4" ht="16.5" thickBot="1" x14ac:dyDescent="0.3">
      <c r="A16" s="91" t="s">
        <v>238</v>
      </c>
      <c r="B16" s="23">
        <f>1091+1551.9/3</f>
        <v>1608.3000000000002</v>
      </c>
      <c r="C16" s="96" t="s">
        <v>234</v>
      </c>
      <c r="D16" s="95" t="s">
        <v>234</v>
      </c>
    </row>
    <row r="17" spans="1:7" ht="16.5" hidden="1" thickBot="1" x14ac:dyDescent="0.3">
      <c r="A17" s="91" t="s">
        <v>239</v>
      </c>
      <c r="B17" s="23">
        <v>0</v>
      </c>
      <c r="C17" s="90" t="s">
        <v>234</v>
      </c>
      <c r="D17" s="92" t="s">
        <v>234</v>
      </c>
      <c r="E17" s="77"/>
      <c r="F17" s="77"/>
      <c r="G17" s="77"/>
    </row>
    <row r="18" spans="1:7" ht="16.5" hidden="1" thickBot="1" x14ac:dyDescent="0.3">
      <c r="A18" s="91" t="s">
        <v>240</v>
      </c>
      <c r="B18" s="23">
        <v>809.9</v>
      </c>
      <c r="C18" s="95" t="s">
        <v>234</v>
      </c>
      <c r="D18" s="92" t="s">
        <v>234</v>
      </c>
      <c r="E18" s="77"/>
      <c r="F18" s="77"/>
      <c r="G18" s="77"/>
    </row>
    <row r="19" spans="1:7" ht="16.5" hidden="1" thickBot="1" x14ac:dyDescent="0.3">
      <c r="A19" s="91" t="s">
        <v>241</v>
      </c>
      <c r="B19" s="23">
        <v>0</v>
      </c>
      <c r="C19" s="95" t="s">
        <v>234</v>
      </c>
      <c r="D19" s="92" t="s">
        <v>234</v>
      </c>
      <c r="E19" s="77"/>
      <c r="F19" s="77"/>
      <c r="G19" s="77"/>
    </row>
    <row r="20" spans="1:7" ht="16.5" hidden="1" thickBot="1" x14ac:dyDescent="0.3">
      <c r="A20" s="91" t="s">
        <v>242</v>
      </c>
      <c r="B20" s="23">
        <v>1074</v>
      </c>
      <c r="C20" s="95"/>
      <c r="D20" s="92"/>
      <c r="E20" s="77"/>
      <c r="F20" s="77"/>
      <c r="G20" s="77"/>
    </row>
    <row r="21" spans="1:7" ht="16.5" hidden="1" thickBot="1" x14ac:dyDescent="0.3">
      <c r="A21" s="91" t="s">
        <v>243</v>
      </c>
      <c r="B21" s="23">
        <v>0</v>
      </c>
      <c r="C21" s="95" t="s">
        <v>234</v>
      </c>
      <c r="D21" s="92" t="s">
        <v>234</v>
      </c>
      <c r="E21" s="77"/>
      <c r="F21" s="77"/>
      <c r="G21" s="77"/>
    </row>
    <row r="22" spans="1:7" ht="16.5" hidden="1" thickBot="1" x14ac:dyDescent="0.3">
      <c r="A22" s="91" t="s">
        <v>244</v>
      </c>
      <c r="B22" s="23">
        <v>140</v>
      </c>
      <c r="C22" s="93"/>
      <c r="D22" s="92"/>
      <c r="E22" s="77"/>
      <c r="F22" s="77"/>
      <c r="G22" s="77"/>
    </row>
    <row r="23" spans="1:7" ht="15.75" x14ac:dyDescent="0.25">
      <c r="A23" s="91"/>
      <c r="B23" s="23"/>
      <c r="C23" s="94"/>
      <c r="D23" s="95"/>
      <c r="E23" s="77">
        <v>10</v>
      </c>
      <c r="F23" s="77">
        <v>2</v>
      </c>
      <c r="G23" s="77"/>
    </row>
    <row r="24" spans="1:7" ht="15.75" x14ac:dyDescent="0.25">
      <c r="A24" s="97" t="s">
        <v>319</v>
      </c>
      <c r="B24" s="28">
        <f>VLOOKUP(A5,[2]Лист1!M$1:N$65536,2,FALSE)</f>
        <v>552409.16</v>
      </c>
      <c r="C24" s="92"/>
      <c r="D24" s="95"/>
      <c r="E24" s="26">
        <v>15.48</v>
      </c>
      <c r="F24" s="256">
        <v>17.328312</v>
      </c>
      <c r="G24" s="77"/>
    </row>
    <row r="25" spans="1:7" ht="16.5" thickBot="1" x14ac:dyDescent="0.3">
      <c r="A25" s="97" t="s">
        <v>320</v>
      </c>
      <c r="B25" s="28">
        <f>VLOOKUP(A5,[2]Лист1!M$1:O$65536,3,FALSE)</f>
        <v>509056.35000000003</v>
      </c>
      <c r="C25" s="96"/>
      <c r="D25" s="95"/>
      <c r="E25" s="77"/>
      <c r="F25" s="77"/>
      <c r="G25" s="77"/>
    </row>
    <row r="26" spans="1:7" ht="16.5" hidden="1" thickBot="1" x14ac:dyDescent="0.3">
      <c r="A26" s="97" t="s">
        <v>321</v>
      </c>
      <c r="B26" s="28"/>
      <c r="C26" s="90"/>
      <c r="D26" s="92"/>
      <c r="E26" s="77"/>
      <c r="F26" s="77"/>
      <c r="G26" s="77"/>
    </row>
    <row r="27" spans="1:7" ht="16.5" hidden="1" thickBot="1" x14ac:dyDescent="0.3">
      <c r="A27" s="97" t="s">
        <v>248</v>
      </c>
      <c r="B27" s="28">
        <f>B26</f>
        <v>0</v>
      </c>
      <c r="C27" s="93"/>
      <c r="D27" s="92"/>
      <c r="E27" s="77"/>
      <c r="F27" s="77"/>
      <c r="G27" s="77"/>
    </row>
    <row r="28" spans="1:7" ht="16.5" thickBot="1" x14ac:dyDescent="0.3">
      <c r="A28" s="97" t="s">
        <v>249</v>
      </c>
      <c r="B28" s="28">
        <v>1510.2</v>
      </c>
      <c r="C28" s="89"/>
      <c r="D28" s="95"/>
      <c r="E28" s="77"/>
      <c r="F28" s="77"/>
      <c r="G28" s="77"/>
    </row>
    <row r="29" spans="1:7" ht="16.5" hidden="1" thickBot="1" x14ac:dyDescent="0.3">
      <c r="A29" s="97" t="s">
        <v>485</v>
      </c>
      <c r="B29" s="28"/>
      <c r="C29" s="98"/>
      <c r="D29" s="92"/>
      <c r="E29" s="77"/>
      <c r="F29" s="77"/>
      <c r="G29" s="77"/>
    </row>
    <row r="30" spans="1:7" ht="15.75" x14ac:dyDescent="0.25">
      <c r="A30" s="99"/>
      <c r="B30" s="23"/>
      <c r="C30" s="94"/>
      <c r="D30" s="95"/>
      <c r="E30" s="77"/>
      <c r="F30" s="77"/>
      <c r="G30" s="77"/>
    </row>
    <row r="31" spans="1:7" ht="15.75" x14ac:dyDescent="0.25">
      <c r="A31" s="100" t="s">
        <v>251</v>
      </c>
      <c r="B31" s="23"/>
      <c r="C31" s="92"/>
      <c r="D31" s="95"/>
      <c r="E31" s="77"/>
      <c r="F31" s="77"/>
      <c r="G31" s="77"/>
    </row>
    <row r="32" spans="1:7" s="103" customFormat="1" ht="31.5" x14ac:dyDescent="0.25">
      <c r="A32" s="101" t="s">
        <v>252</v>
      </c>
      <c r="B32" s="208">
        <f>SUM(B33:B41)</f>
        <v>150873.27198717766</v>
      </c>
      <c r="C32" s="92"/>
      <c r="D32" s="95"/>
      <c r="E32" s="102">
        <f>(B86-B26-B24)/1.2/1.03</f>
        <v>258018.07511745763</v>
      </c>
      <c r="F32" s="102" t="e">
        <f>(#REF!-#REF!-#REF!)/1.2/1.03</f>
        <v>#REF!</v>
      </c>
      <c r="G32" s="102" t="e">
        <f>(#REF!-#REF!-#REF!)/1.2/1.03</f>
        <v>#REF!</v>
      </c>
    </row>
    <row r="33" spans="1:7" ht="16.5" thickBot="1" x14ac:dyDescent="0.3">
      <c r="A33" s="104" t="s">
        <v>253</v>
      </c>
      <c r="B33" s="23">
        <f>27568.63*1.1194</f>
        <v>30860.324422000002</v>
      </c>
      <c r="C33" s="96"/>
      <c r="D33" s="95">
        <v>13642.27</v>
      </c>
      <c r="E33" s="77"/>
      <c r="F33" s="77"/>
      <c r="G33" s="77"/>
    </row>
    <row r="34" spans="1:7" ht="15.75" hidden="1" x14ac:dyDescent="0.25">
      <c r="A34" s="104" t="s">
        <v>322</v>
      </c>
      <c r="B34" s="23">
        <v>0</v>
      </c>
      <c r="C34" s="90"/>
      <c r="D34" s="92">
        <v>0</v>
      </c>
      <c r="E34" s="77"/>
      <c r="F34" s="77"/>
      <c r="G34" s="77"/>
    </row>
    <row r="35" spans="1:7" ht="15.75" hidden="1" x14ac:dyDescent="0.25">
      <c r="A35" s="104" t="s">
        <v>256</v>
      </c>
      <c r="B35" s="23"/>
      <c r="C35" s="95"/>
      <c r="D35" s="92">
        <v>0</v>
      </c>
      <c r="E35" s="77"/>
      <c r="F35" s="77"/>
      <c r="G35" s="77"/>
    </row>
    <row r="36" spans="1:7" ht="16.5" thickBot="1" x14ac:dyDescent="0.3">
      <c r="A36" s="104" t="s">
        <v>255</v>
      </c>
      <c r="B36" s="23">
        <v>120012.94756517767</v>
      </c>
      <c r="C36" s="95" t="s">
        <v>234</v>
      </c>
      <c r="D36" s="92">
        <v>0</v>
      </c>
      <c r="E36" s="77"/>
      <c r="F36" s="77"/>
      <c r="G36" s="77"/>
    </row>
    <row r="37" spans="1:7" ht="16.5" hidden="1" thickBot="1" x14ac:dyDescent="0.3">
      <c r="A37" s="104" t="s">
        <v>257</v>
      </c>
      <c r="B37" s="23">
        <v>0</v>
      </c>
      <c r="C37" s="95"/>
      <c r="D37" s="92">
        <v>0</v>
      </c>
      <c r="E37" s="77"/>
      <c r="F37" s="77"/>
      <c r="G37" s="77"/>
    </row>
    <row r="38" spans="1:7" ht="16.5" hidden="1" thickBot="1" x14ac:dyDescent="0.3">
      <c r="A38" s="104" t="s">
        <v>258</v>
      </c>
      <c r="B38" s="23">
        <v>0</v>
      </c>
      <c r="C38" s="95"/>
      <c r="D38" s="92">
        <v>0</v>
      </c>
      <c r="E38" s="77"/>
      <c r="F38" s="77"/>
      <c r="G38" s="77"/>
    </row>
    <row r="39" spans="1:7" ht="16.5" hidden="1" thickBot="1" x14ac:dyDescent="0.3">
      <c r="A39" s="104" t="s">
        <v>324</v>
      </c>
      <c r="B39" s="23">
        <v>0</v>
      </c>
      <c r="C39" s="95"/>
      <c r="D39" s="92">
        <v>0</v>
      </c>
      <c r="E39" s="77"/>
      <c r="F39" s="77"/>
      <c r="G39" s="77"/>
    </row>
    <row r="40" spans="1:7" ht="16.5" hidden="1" thickBot="1" x14ac:dyDescent="0.3">
      <c r="A40" s="104" t="s">
        <v>312</v>
      </c>
      <c r="B40" s="23">
        <v>0</v>
      </c>
      <c r="C40" s="95"/>
      <c r="D40" s="92"/>
      <c r="E40" s="77"/>
      <c r="F40" s="77"/>
      <c r="G40" s="77"/>
    </row>
    <row r="41" spans="1:7" ht="16.5" hidden="1" thickBot="1" x14ac:dyDescent="0.3">
      <c r="A41" s="104" t="s">
        <v>313</v>
      </c>
      <c r="B41" s="23">
        <v>0</v>
      </c>
      <c r="C41" s="93"/>
      <c r="D41" s="92"/>
      <c r="E41" s="77"/>
      <c r="F41" s="77"/>
      <c r="G41" s="77"/>
    </row>
    <row r="42" spans="1:7" s="103" customFormat="1" ht="48" thickBot="1" x14ac:dyDescent="0.3">
      <c r="A42" s="101" t="s">
        <v>325</v>
      </c>
      <c r="B42" s="208">
        <f>SUM(B43:B45)</f>
        <v>88922.939651729394</v>
      </c>
      <c r="C42" s="89"/>
      <c r="D42" s="95"/>
      <c r="E42" s="102"/>
      <c r="F42" s="102"/>
      <c r="G42" s="102"/>
    </row>
    <row r="43" spans="1:7" ht="15.75" hidden="1" x14ac:dyDescent="0.25">
      <c r="A43" s="104" t="s">
        <v>262</v>
      </c>
      <c r="B43" s="23"/>
      <c r="C43" s="98"/>
      <c r="D43" s="108"/>
      <c r="E43" s="77"/>
      <c r="F43" s="77"/>
      <c r="G43" s="77"/>
    </row>
    <row r="44" spans="1:7" ht="15.75" x14ac:dyDescent="0.25">
      <c r="A44" s="104" t="s">
        <v>263</v>
      </c>
      <c r="B44" s="23">
        <v>71461.56243482235</v>
      </c>
      <c r="C44" s="93"/>
      <c r="D44" s="108"/>
      <c r="E44" s="77"/>
      <c r="F44" s="77"/>
      <c r="G44" s="77"/>
    </row>
    <row r="45" spans="1:7" ht="16.5" thickBot="1" x14ac:dyDescent="0.3">
      <c r="A45" s="109" t="s">
        <v>264</v>
      </c>
      <c r="B45" s="23">
        <f>('[3]34тарифы'!D163*B15+122.83)*1.1194</f>
        <v>17461.377216907036</v>
      </c>
      <c r="C45" s="93"/>
      <c r="D45" s="108"/>
      <c r="E45" s="77"/>
      <c r="F45" s="77"/>
      <c r="G45" s="77"/>
    </row>
    <row r="46" spans="1:7" s="79" customFormat="1" ht="16.5" thickBot="1" x14ac:dyDescent="0.3">
      <c r="A46" s="101" t="s">
        <v>265</v>
      </c>
      <c r="B46" s="208">
        <f>SUM(B47:B65)</f>
        <v>83392.31</v>
      </c>
      <c r="C46" s="89"/>
      <c r="D46" s="95"/>
    </row>
    <row r="47" spans="1:7" ht="15.75" x14ac:dyDescent="0.25">
      <c r="A47" s="104" t="s">
        <v>326</v>
      </c>
      <c r="B47" s="283">
        <v>3401.64</v>
      </c>
      <c r="C47" s="90"/>
      <c r="D47" s="92"/>
      <c r="E47" s="77" t="s">
        <v>267</v>
      </c>
      <c r="F47" s="77"/>
      <c r="G47" s="77"/>
    </row>
    <row r="48" spans="1:7" ht="15.75" x14ac:dyDescent="0.25">
      <c r="A48" s="104" t="s">
        <v>317</v>
      </c>
      <c r="B48" s="283">
        <v>4130.46</v>
      </c>
      <c r="C48" s="95"/>
      <c r="D48" s="92"/>
      <c r="E48" s="77" t="s">
        <v>269</v>
      </c>
      <c r="F48" s="77"/>
      <c r="G48" s="77"/>
    </row>
    <row r="49" spans="1:5" ht="15.75" x14ac:dyDescent="0.25">
      <c r="A49" s="110" t="s">
        <v>362</v>
      </c>
      <c r="B49" s="23">
        <v>80.53</v>
      </c>
      <c r="C49" s="95"/>
      <c r="D49" s="92"/>
      <c r="E49" s="77"/>
    </row>
    <row r="50" spans="1:5" ht="15.75" hidden="1" x14ac:dyDescent="0.25">
      <c r="A50" s="110" t="s">
        <v>271</v>
      </c>
      <c r="B50" s="23">
        <v>0</v>
      </c>
      <c r="C50" s="95"/>
      <c r="D50" s="92">
        <v>4190</v>
      </c>
      <c r="E50" s="77"/>
    </row>
    <row r="51" spans="1:5" ht="15.75" hidden="1" x14ac:dyDescent="0.25">
      <c r="A51" s="110" t="s">
        <v>272</v>
      </c>
      <c r="B51" s="23">
        <v>0</v>
      </c>
      <c r="C51" s="95"/>
      <c r="D51" s="92"/>
      <c r="E51" s="77"/>
    </row>
    <row r="52" spans="1:5" ht="15.75" hidden="1" x14ac:dyDescent="0.25">
      <c r="A52" s="110" t="s">
        <v>348</v>
      </c>
      <c r="B52" s="23">
        <v>0</v>
      </c>
      <c r="C52" s="95"/>
      <c r="D52" s="92">
        <v>105.14</v>
      </c>
      <c r="E52" s="77"/>
    </row>
    <row r="53" spans="1:5" ht="15.75" x14ac:dyDescent="0.25">
      <c r="A53" s="110" t="s">
        <v>347</v>
      </c>
      <c r="B53" s="23">
        <v>8133.61</v>
      </c>
      <c r="C53" s="95">
        <v>0</v>
      </c>
      <c r="D53" s="92">
        <v>522.99</v>
      </c>
      <c r="E53" s="77"/>
    </row>
    <row r="54" spans="1:5" ht="15.75" hidden="1" x14ac:dyDescent="0.25">
      <c r="A54" s="110" t="s">
        <v>486</v>
      </c>
      <c r="B54" s="23">
        <v>0</v>
      </c>
      <c r="C54" s="95">
        <v>1</v>
      </c>
      <c r="D54" s="111">
        <v>700.55</v>
      </c>
      <c r="E54" s="77"/>
    </row>
    <row r="55" spans="1:5" ht="15.75" x14ac:dyDescent="0.25">
      <c r="A55" s="110" t="s">
        <v>542</v>
      </c>
      <c r="B55" s="23">
        <v>4200</v>
      </c>
      <c r="C55" s="95"/>
      <c r="D55" s="111"/>
      <c r="E55" s="77"/>
    </row>
    <row r="56" spans="1:5" ht="15.75" x14ac:dyDescent="0.25">
      <c r="A56" s="110" t="s">
        <v>277</v>
      </c>
      <c r="B56" s="23">
        <v>50400</v>
      </c>
      <c r="C56" s="95">
        <v>0</v>
      </c>
      <c r="D56" s="92">
        <f>10695.76/1.18</f>
        <v>9064.203389830509</v>
      </c>
      <c r="E56" s="77"/>
    </row>
    <row r="57" spans="1:5" ht="15.75" hidden="1" x14ac:dyDescent="0.25">
      <c r="A57" s="110" t="s">
        <v>314</v>
      </c>
      <c r="B57" s="23">
        <v>0</v>
      </c>
      <c r="C57" s="95">
        <v>0</v>
      </c>
      <c r="D57" s="92">
        <f>2300/1.18</f>
        <v>1949.1525423728815</v>
      </c>
      <c r="E57" s="77"/>
    </row>
    <row r="58" spans="1:5" ht="15.75" hidden="1" x14ac:dyDescent="0.25">
      <c r="A58" s="110" t="s">
        <v>487</v>
      </c>
      <c r="B58" s="23"/>
      <c r="C58" s="93">
        <v>0</v>
      </c>
      <c r="D58" s="92">
        <v>0</v>
      </c>
      <c r="E58" s="77"/>
    </row>
    <row r="59" spans="1:5" ht="16.5" hidden="1" thickBot="1" x14ac:dyDescent="0.3">
      <c r="A59" s="110" t="s">
        <v>279</v>
      </c>
      <c r="B59" s="23">
        <f>B13*'[3]34тарифы'!D184</f>
        <v>0</v>
      </c>
      <c r="C59" s="89"/>
      <c r="D59" s="95"/>
      <c r="E59" s="77"/>
    </row>
    <row r="60" spans="1:5" ht="15.75" hidden="1" x14ac:dyDescent="0.25">
      <c r="A60" s="104" t="s">
        <v>280</v>
      </c>
      <c r="B60" s="23">
        <v>0</v>
      </c>
      <c r="C60" s="90"/>
      <c r="D60" s="92"/>
      <c r="E60" s="77"/>
    </row>
    <row r="61" spans="1:5" ht="15.75" hidden="1" x14ac:dyDescent="0.25">
      <c r="A61" s="104" t="s">
        <v>281</v>
      </c>
      <c r="B61" s="23">
        <v>0</v>
      </c>
      <c r="C61" s="95"/>
      <c r="D61" s="92">
        <v>0</v>
      </c>
      <c r="E61" s="77"/>
    </row>
    <row r="62" spans="1:5" ht="15.75" hidden="1" x14ac:dyDescent="0.25">
      <c r="A62" s="104" t="s">
        <v>488</v>
      </c>
      <c r="B62" s="23"/>
      <c r="C62" s="95"/>
      <c r="D62" s="92">
        <v>0</v>
      </c>
      <c r="E62" s="77"/>
    </row>
    <row r="63" spans="1:5" ht="16.5" thickBot="1" x14ac:dyDescent="0.3">
      <c r="A63" s="104" t="s">
        <v>327</v>
      </c>
      <c r="B63" s="229">
        <v>13046.07</v>
      </c>
      <c r="C63" s="113">
        <v>1</v>
      </c>
      <c r="D63" s="92">
        <v>0</v>
      </c>
      <c r="E63" s="77"/>
    </row>
    <row r="64" spans="1:5" ht="16.5" hidden="1" thickBot="1" x14ac:dyDescent="0.3">
      <c r="A64" s="104" t="s">
        <v>284</v>
      </c>
      <c r="B64" s="229">
        <v>0</v>
      </c>
      <c r="C64" s="114">
        <v>59</v>
      </c>
      <c r="D64" s="95">
        <v>2</v>
      </c>
      <c r="E64" s="77">
        <v>0</v>
      </c>
    </row>
    <row r="65" spans="1:4" ht="16.5" hidden="1" thickBot="1" x14ac:dyDescent="0.3">
      <c r="A65" s="104" t="s">
        <v>285</v>
      </c>
      <c r="B65" s="229">
        <v>0</v>
      </c>
      <c r="C65" s="115"/>
      <c r="D65" s="108">
        <v>0</v>
      </c>
    </row>
    <row r="66" spans="1:4" s="79" customFormat="1" ht="16.5" thickBot="1" x14ac:dyDescent="0.3">
      <c r="A66" s="116" t="s">
        <v>286</v>
      </c>
      <c r="B66" s="208">
        <f>SUM(B67:B74)</f>
        <v>187938.72825378389</v>
      </c>
      <c r="C66" s="89"/>
      <c r="D66" s="93"/>
    </row>
    <row r="67" spans="1:4" ht="16.5" hidden="1" thickBot="1" x14ac:dyDescent="0.3">
      <c r="A67" s="104" t="s">
        <v>287</v>
      </c>
      <c r="B67" s="23">
        <v>0</v>
      </c>
      <c r="C67" s="98"/>
      <c r="D67" s="108"/>
    </row>
    <row r="68" spans="1:4" ht="16.5" thickBot="1" x14ac:dyDescent="0.3">
      <c r="A68" s="104" t="s">
        <v>288</v>
      </c>
      <c r="B68" s="23">
        <f>58561.68*1.04*1.1194</f>
        <v>68176.102375679999</v>
      </c>
      <c r="C68" s="89"/>
      <c r="D68" s="93"/>
    </row>
    <row r="69" spans="1:4" ht="15.75" hidden="1" x14ac:dyDescent="0.25">
      <c r="A69" s="104" t="s">
        <v>289</v>
      </c>
      <c r="B69" s="23">
        <v>0</v>
      </c>
      <c r="C69" s="98"/>
      <c r="D69" s="108"/>
    </row>
    <row r="70" spans="1:4" ht="16.5" thickBot="1" x14ac:dyDescent="0.3">
      <c r="A70" s="109" t="s">
        <v>290</v>
      </c>
      <c r="B70" s="23">
        <f>'[3]34тарифы'!D164*B13*1.1194</f>
        <v>3599.890980580974</v>
      </c>
      <c r="C70" s="93"/>
      <c r="D70" s="108"/>
    </row>
    <row r="71" spans="1:4" ht="15.75" x14ac:dyDescent="0.25">
      <c r="A71" s="109" t="s">
        <v>291</v>
      </c>
      <c r="B71" s="23">
        <f>VLOOKUP(A71,[2]Лист1!S$1:T$65536,2,FALSE)*B15</f>
        <v>13490.847401257333</v>
      </c>
      <c r="C71" s="117"/>
      <c r="D71" s="93"/>
    </row>
    <row r="72" spans="1:4" ht="15.75" x14ac:dyDescent="0.25">
      <c r="A72" s="109" t="s">
        <v>292</v>
      </c>
      <c r="B72" s="23">
        <f>VLOOKUP(A72,[2]Лист1!S$1:T$65536,2,FALSE)*B15</f>
        <v>47094.125256265586</v>
      </c>
      <c r="C72" s="108"/>
      <c r="D72" s="93"/>
    </row>
    <row r="73" spans="1:4" ht="15.75" x14ac:dyDescent="0.25">
      <c r="A73" s="41" t="s">
        <v>293</v>
      </c>
      <c r="B73" s="23">
        <f>5055*1.04*1.1194</f>
        <v>5884.9096799999998</v>
      </c>
      <c r="C73" s="108"/>
      <c r="D73" s="93"/>
    </row>
    <row r="74" spans="1:4" ht="15.75" x14ac:dyDescent="0.25">
      <c r="A74" s="109" t="s">
        <v>294</v>
      </c>
      <c r="B74" s="23">
        <f>42685*1.04*1.1194</f>
        <v>49692.852559999999</v>
      </c>
      <c r="C74" s="108"/>
      <c r="D74" s="93"/>
    </row>
    <row r="75" spans="1:4" ht="47.25" x14ac:dyDescent="0.25">
      <c r="A75" s="118" t="s">
        <v>328</v>
      </c>
      <c r="B75" s="208">
        <f>SUM(B76:B76)</f>
        <v>99219.186740018544</v>
      </c>
      <c r="C75" s="108"/>
      <c r="D75" s="93"/>
    </row>
    <row r="76" spans="1:4" ht="15.75" x14ac:dyDescent="0.25">
      <c r="A76" s="109" t="s">
        <v>296</v>
      </c>
      <c r="B76" s="23">
        <f>'[3]34ОЭР'!D247*1.1194</f>
        <v>99219.186740018544</v>
      </c>
      <c r="C76" s="108"/>
      <c r="D76" s="93"/>
    </row>
    <row r="77" spans="1:4" s="79" customFormat="1" ht="15.75" x14ac:dyDescent="0.25">
      <c r="A77" s="116" t="s">
        <v>297</v>
      </c>
      <c r="B77" s="208">
        <f>SUM(B78:B81)</f>
        <v>94604.615831026444</v>
      </c>
      <c r="C77" s="108"/>
      <c r="D77" s="93"/>
    </row>
    <row r="78" spans="1:4" ht="32.25" thickBot="1" x14ac:dyDescent="0.3">
      <c r="A78" s="119" t="s">
        <v>329</v>
      </c>
      <c r="B78" s="23">
        <f>'[3]34тарифы'!D170*B15*1.1194</f>
        <v>70360.921578219335</v>
      </c>
      <c r="C78" s="96"/>
      <c r="D78" s="93"/>
    </row>
    <row r="79" spans="1:4" ht="16.5" hidden="1" thickBot="1" x14ac:dyDescent="0.3">
      <c r="A79" s="51" t="s">
        <v>299</v>
      </c>
      <c r="B79" s="23">
        <f>(B26/1.2)*30%</f>
        <v>0</v>
      </c>
      <c r="C79" s="98"/>
      <c r="D79" s="108"/>
    </row>
    <row r="80" spans="1:4" ht="15.75" x14ac:dyDescent="0.25">
      <c r="A80" s="120" t="s">
        <v>330</v>
      </c>
      <c r="B80" s="23">
        <f>8683.11+9151.87</f>
        <v>17834.980000000003</v>
      </c>
      <c r="C80" s="117"/>
      <c r="D80" s="93"/>
    </row>
    <row r="81" spans="1:4" ht="15.75" x14ac:dyDescent="0.25">
      <c r="A81" s="120" t="s">
        <v>331</v>
      </c>
      <c r="B81" s="23">
        <f>'[3]34тарифы'!D173*B13*1.1194</f>
        <v>6408.714252807099</v>
      </c>
      <c r="C81" s="108"/>
      <c r="D81" s="93"/>
    </row>
    <row r="82" spans="1:4" ht="15.75" x14ac:dyDescent="0.25">
      <c r="A82" s="121" t="s">
        <v>302</v>
      </c>
      <c r="B82" s="28">
        <f>B32+B42+B46+B66+B75+B77</f>
        <v>704951.05246373592</v>
      </c>
      <c r="C82" s="108"/>
      <c r="D82" s="93"/>
    </row>
    <row r="83" spans="1:4" ht="15.75" x14ac:dyDescent="0.25">
      <c r="A83" s="122" t="s">
        <v>303</v>
      </c>
      <c r="B83" s="23">
        <f>B82*0.03</f>
        <v>21148.531573912078</v>
      </c>
      <c r="C83" s="108"/>
      <c r="D83" s="93"/>
    </row>
    <row r="84" spans="1:4" s="103" customFormat="1" ht="15.75" x14ac:dyDescent="0.25">
      <c r="A84" s="123" t="s">
        <v>304</v>
      </c>
      <c r="B84" s="208">
        <f>B82+B83</f>
        <v>726099.58403764805</v>
      </c>
      <c r="C84" s="108"/>
      <c r="D84" s="93"/>
    </row>
    <row r="85" spans="1:4" ht="16.5" thickBot="1" x14ac:dyDescent="0.3">
      <c r="A85" s="124" t="s">
        <v>305</v>
      </c>
      <c r="B85" s="240">
        <f>B84*0.2</f>
        <v>145219.9168075296</v>
      </c>
      <c r="C85" s="108"/>
      <c r="D85" s="93"/>
    </row>
    <row r="86" spans="1:4" s="79" customFormat="1" ht="16.5" thickBot="1" x14ac:dyDescent="0.3">
      <c r="A86" s="125" t="s">
        <v>306</v>
      </c>
      <c r="B86" s="66">
        <f>B84+B85</f>
        <v>871319.50084517768</v>
      </c>
      <c r="C86" s="89"/>
      <c r="D86" s="126"/>
    </row>
    <row r="87" spans="1:4" s="79" customFormat="1" ht="16.5" thickBot="1" x14ac:dyDescent="0.3">
      <c r="A87" s="127" t="s">
        <v>307</v>
      </c>
      <c r="B87" s="296">
        <f>B10+B24+B26+B28+B29-B86</f>
        <v>-1419770.9908451778</v>
      </c>
      <c r="C87" s="128"/>
      <c r="D87" s="129"/>
    </row>
    <row r="88" spans="1:4" s="79" customFormat="1" ht="16.5" thickBot="1" x14ac:dyDescent="0.3">
      <c r="A88" s="130" t="s">
        <v>308</v>
      </c>
      <c r="B88" s="66">
        <f>B10+B25+B27+B28+B29-B86</f>
        <v>-1463123.8008451778</v>
      </c>
      <c r="C88" s="131"/>
      <c r="D88" s="129"/>
    </row>
    <row r="89" spans="1:4" s="79" customFormat="1" ht="16.5" hidden="1" thickBot="1" x14ac:dyDescent="0.3">
      <c r="A89" s="132" t="s">
        <v>309</v>
      </c>
      <c r="B89" s="66">
        <f>B11+B24-B25</f>
        <v>43352.81</v>
      </c>
      <c r="C89" s="129"/>
      <c r="D89" s="129"/>
    </row>
    <row r="90" spans="1:4" s="79" customFormat="1" ht="15.75" x14ac:dyDescent="0.25">
      <c r="A90" s="133"/>
      <c r="B90" s="242"/>
      <c r="C90" s="129"/>
      <c r="D90" s="129"/>
    </row>
    <row r="91" spans="1:4" ht="15.75" x14ac:dyDescent="0.25">
      <c r="A91" s="134"/>
      <c r="B91" s="3"/>
      <c r="C91" s="77"/>
      <c r="D91" s="77"/>
    </row>
    <row r="92" spans="1:4" ht="15.75" x14ac:dyDescent="0.25">
      <c r="A92" s="323" t="s">
        <v>332</v>
      </c>
      <c r="B92" s="323"/>
      <c r="C92" s="77"/>
      <c r="D92" s="77"/>
    </row>
    <row r="93" spans="1:4" ht="15.75" x14ac:dyDescent="0.25">
      <c r="A93" s="134"/>
      <c r="B93" s="3"/>
      <c r="C93" s="77"/>
      <c r="D93" s="77"/>
    </row>
    <row r="94" spans="1:4" ht="15.75" hidden="1" x14ac:dyDescent="0.25">
      <c r="A94" s="324" t="s">
        <v>333</v>
      </c>
      <c r="B94" s="324"/>
      <c r="C94" s="135"/>
      <c r="D94" s="77"/>
    </row>
    <row r="95" spans="1:4" ht="15.75" x14ac:dyDescent="0.25">
      <c r="A95" s="77"/>
      <c r="B95" s="3"/>
      <c r="C95" s="77"/>
      <c r="D95" s="77"/>
    </row>
  </sheetData>
  <autoFilter ref="A31:G89" xr:uid="{00000000-0009-0000-0000-00004F000000}">
    <filterColumn colId="1">
      <filters>
        <filter val="-1 102 370,85"/>
        <filter val="-1 145 723,66"/>
        <filter val="1 463,55"/>
        <filter val="1 801,42"/>
        <filter val="11 509,89"/>
        <filter val="120 012,95"/>
        <filter val="13 490,85"/>
        <filter val="13 686,06"/>
        <filter val="14 561,92"/>
        <filter val="146 620,47"/>
        <filter val="150 873,27"/>
        <filter val="17 461,38"/>
        <filter val="187 938,73"/>
        <filter val="21 352,50"/>
        <filter val="3 401,64"/>
        <filter val="3 599,89"/>
        <filter val="30 860,32"/>
        <filter val="4 130,46"/>
        <filter val="43 352,81"/>
        <filter val="47 094,13"/>
        <filter val="49 692,85"/>
        <filter val="5 884,91"/>
        <filter val="57 471,16"/>
        <filter val="6 408,71"/>
        <filter val="68 176,10"/>
        <filter val="70 360,92"/>
        <filter val="71 461,56"/>
        <filter val="711 749,86"/>
        <filter val="733 102,36"/>
        <filter val="879 722,83"/>
        <filter val="88 922,94"/>
        <filter val="90 455,70"/>
        <filter val="94 340,04"/>
        <filter val="99 219,19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82"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 filterMode="1">
    <pageSetUpPr fitToPage="1"/>
  </sheetPr>
  <dimension ref="A1:G95"/>
  <sheetViews>
    <sheetView view="pageBreakPreview" topLeftCell="A44" zoomScale="80" zoomScaleNormal="100" zoomScaleSheetLayoutView="80" workbookViewId="0">
      <selection activeCell="B80" sqref="B80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25" t="s">
        <v>224</v>
      </c>
      <c r="B1" s="325"/>
      <c r="C1" s="77"/>
      <c r="D1" s="77"/>
    </row>
    <row r="2" spans="1:4" ht="16.5" x14ac:dyDescent="0.25">
      <c r="A2" s="326" t="s">
        <v>225</v>
      </c>
      <c r="B2" s="326"/>
      <c r="C2" s="77"/>
      <c r="D2" s="77"/>
    </row>
    <row r="3" spans="1:4" ht="16.5" x14ac:dyDescent="0.25">
      <c r="A3" s="326" t="s">
        <v>226</v>
      </c>
      <c r="B3" s="326"/>
      <c r="C3" s="77"/>
      <c r="D3" s="77"/>
    </row>
    <row r="4" spans="1:4" ht="15.75" x14ac:dyDescent="0.25">
      <c r="A4" s="78" t="s">
        <v>516</v>
      </c>
      <c r="B4" s="78"/>
      <c r="C4" s="77"/>
      <c r="D4" s="77"/>
    </row>
    <row r="5" spans="1:4" ht="15.75" x14ac:dyDescent="0.25">
      <c r="A5" s="78" t="s">
        <v>201</v>
      </c>
      <c r="B5" s="78"/>
      <c r="C5" s="77"/>
      <c r="D5" s="77"/>
    </row>
    <row r="6" spans="1:4" ht="5.25" customHeight="1" x14ac:dyDescent="0.25">
      <c r="A6" s="78"/>
      <c r="B6" s="8"/>
      <c r="C6" s="79"/>
      <c r="D6" s="77"/>
    </row>
    <row r="7" spans="1:4" ht="16.5" thickBot="1" x14ac:dyDescent="0.3">
      <c r="A7" s="80"/>
      <c r="B7" s="8"/>
      <c r="C7" s="79"/>
      <c r="D7" s="77"/>
    </row>
    <row r="8" spans="1:4" ht="15.75" customHeight="1" x14ac:dyDescent="0.2">
      <c r="A8" s="327" t="s">
        <v>227</v>
      </c>
      <c r="B8" s="329" t="s">
        <v>228</v>
      </c>
      <c r="C8" s="331" t="s">
        <v>229</v>
      </c>
      <c r="D8" s="321" t="s">
        <v>230</v>
      </c>
    </row>
    <row r="9" spans="1:4" ht="28.5" customHeight="1" thickBot="1" x14ac:dyDescent="0.25">
      <c r="A9" s="328"/>
      <c r="B9" s="330"/>
      <c r="C9" s="332"/>
      <c r="D9" s="322"/>
    </row>
    <row r="10" spans="1:4" ht="16.5" thickBot="1" x14ac:dyDescent="0.25">
      <c r="A10" s="81" t="s">
        <v>231</v>
      </c>
      <c r="B10" s="302">
        <f>VLOOKUP(A5,мкд!S:T,2,FALSE)</f>
        <v>-1679620.13</v>
      </c>
      <c r="C10" s="83"/>
      <c r="D10" s="84"/>
    </row>
    <row r="11" spans="1:4" ht="16.5" hidden="1" thickBot="1" x14ac:dyDescent="0.25">
      <c r="A11" s="85" t="s">
        <v>232</v>
      </c>
      <c r="B11" s="210"/>
      <c r="C11" s="84"/>
      <c r="D11" s="86"/>
    </row>
    <row r="12" spans="1:4" ht="16.5" thickBot="1" x14ac:dyDescent="0.3">
      <c r="A12" s="87" t="s">
        <v>233</v>
      </c>
      <c r="B12" s="217"/>
      <c r="C12" s="89" t="s">
        <v>234</v>
      </c>
      <c r="D12" s="90" t="s">
        <v>234</v>
      </c>
    </row>
    <row r="13" spans="1:4" ht="16.5" hidden="1" thickBot="1" x14ac:dyDescent="0.3">
      <c r="A13" s="91" t="s">
        <v>235</v>
      </c>
      <c r="B13" s="23">
        <v>1737.2</v>
      </c>
      <c r="C13" s="90" t="s">
        <v>234</v>
      </c>
      <c r="D13" s="92" t="s">
        <v>234</v>
      </c>
    </row>
    <row r="14" spans="1:4" ht="16.5" hidden="1" thickBot="1" x14ac:dyDescent="0.3">
      <c r="A14" s="91" t="s">
        <v>236</v>
      </c>
      <c r="B14" s="23">
        <v>35.1</v>
      </c>
      <c r="C14" s="93"/>
      <c r="D14" s="92"/>
    </row>
    <row r="15" spans="1:4" ht="15.75" x14ac:dyDescent="0.25">
      <c r="A15" s="91" t="s">
        <v>237</v>
      </c>
      <c r="B15" s="23">
        <f>B13+B14</f>
        <v>1772.3</v>
      </c>
      <c r="C15" s="94"/>
      <c r="D15" s="95"/>
    </row>
    <row r="16" spans="1:4" ht="16.5" thickBot="1" x14ac:dyDescent="0.3">
      <c r="A16" s="91" t="s">
        <v>238</v>
      </c>
      <c r="B16" s="23">
        <f>1202+897.2/3</f>
        <v>1501.0666666666666</v>
      </c>
      <c r="C16" s="96" t="s">
        <v>234</v>
      </c>
      <c r="D16" s="95" t="s">
        <v>234</v>
      </c>
    </row>
    <row r="17" spans="1:7" ht="16.5" hidden="1" thickBot="1" x14ac:dyDescent="0.3">
      <c r="A17" s="91" t="s">
        <v>239</v>
      </c>
      <c r="B17" s="23">
        <v>0</v>
      </c>
      <c r="C17" s="90" t="s">
        <v>234</v>
      </c>
      <c r="D17" s="92" t="s">
        <v>234</v>
      </c>
      <c r="E17" s="77"/>
      <c r="F17" s="77"/>
      <c r="G17" s="77"/>
    </row>
    <row r="18" spans="1:7" ht="16.5" hidden="1" thickBot="1" x14ac:dyDescent="0.3">
      <c r="A18" s="91" t="s">
        <v>240</v>
      </c>
      <c r="B18" s="23">
        <v>174.2</v>
      </c>
      <c r="C18" s="95" t="s">
        <v>234</v>
      </c>
      <c r="D18" s="92" t="s">
        <v>234</v>
      </c>
      <c r="E18" s="77"/>
      <c r="F18" s="77"/>
      <c r="G18" s="77"/>
    </row>
    <row r="19" spans="1:7" ht="16.5" hidden="1" thickBot="1" x14ac:dyDescent="0.3">
      <c r="A19" s="91" t="s">
        <v>241</v>
      </c>
      <c r="B19" s="23">
        <v>0</v>
      </c>
      <c r="C19" s="95" t="s">
        <v>234</v>
      </c>
      <c r="D19" s="92" t="s">
        <v>234</v>
      </c>
      <c r="E19" s="77"/>
      <c r="F19" s="77"/>
      <c r="G19" s="77"/>
    </row>
    <row r="20" spans="1:7" ht="16.5" hidden="1" thickBot="1" x14ac:dyDescent="0.3">
      <c r="A20" s="91" t="s">
        <v>242</v>
      </c>
      <c r="B20" s="23">
        <v>670</v>
      </c>
      <c r="C20" s="95"/>
      <c r="D20" s="92"/>
      <c r="E20" s="77"/>
      <c r="F20" s="77"/>
      <c r="G20" s="77"/>
    </row>
    <row r="21" spans="1:7" ht="16.5" hidden="1" thickBot="1" x14ac:dyDescent="0.3">
      <c r="A21" s="91" t="s">
        <v>243</v>
      </c>
      <c r="B21" s="23">
        <v>0</v>
      </c>
      <c r="C21" s="95" t="s">
        <v>234</v>
      </c>
      <c r="D21" s="92" t="s">
        <v>234</v>
      </c>
      <c r="E21" s="77"/>
      <c r="F21" s="77"/>
      <c r="G21" s="77"/>
    </row>
    <row r="22" spans="1:7" ht="16.5" hidden="1" thickBot="1" x14ac:dyDescent="0.3">
      <c r="A22" s="91" t="s">
        <v>244</v>
      </c>
      <c r="B22" s="23">
        <v>95</v>
      </c>
      <c r="C22" s="93"/>
      <c r="D22" s="92"/>
      <c r="E22" s="77"/>
      <c r="F22" s="77"/>
      <c r="G22" s="77"/>
    </row>
    <row r="23" spans="1:7" ht="15.75" x14ac:dyDescent="0.25">
      <c r="A23" s="91"/>
      <c r="B23" s="23"/>
      <c r="C23" s="94"/>
      <c r="D23" s="95"/>
      <c r="E23" s="77"/>
      <c r="F23" s="77"/>
      <c r="G23" s="77"/>
    </row>
    <row r="24" spans="1:7" ht="15.75" x14ac:dyDescent="0.25">
      <c r="A24" s="97" t="s">
        <v>319</v>
      </c>
      <c r="B24" s="28">
        <f>VLOOKUP(A5,[2]Лист1!M$1:N$65536,2,FALSE)</f>
        <v>298973.18</v>
      </c>
      <c r="C24" s="92"/>
      <c r="D24" s="95"/>
      <c r="E24" s="77">
        <v>14.06</v>
      </c>
      <c r="F24" s="77"/>
      <c r="G24" s="77"/>
    </row>
    <row r="25" spans="1:7" ht="16.5" thickBot="1" x14ac:dyDescent="0.3">
      <c r="A25" s="97" t="s">
        <v>320</v>
      </c>
      <c r="B25" s="28">
        <f>VLOOKUP(A5,[2]Лист1!M$1:O$65536,3,FALSE)</f>
        <v>302628.07</v>
      </c>
      <c r="C25" s="96"/>
      <c r="D25" s="95"/>
      <c r="E25" s="77"/>
      <c r="F25" s="77"/>
      <c r="G25" s="77"/>
    </row>
    <row r="26" spans="1:7" ht="15.75" x14ac:dyDescent="0.25">
      <c r="A26" s="97" t="s">
        <v>353</v>
      </c>
      <c r="B26" s="28">
        <v>6394.49</v>
      </c>
      <c r="C26" s="90"/>
      <c r="D26" s="92"/>
      <c r="E26" s="77"/>
      <c r="F26" s="77"/>
      <c r="G26" s="77"/>
    </row>
    <row r="27" spans="1:7" ht="16.5" thickBot="1" x14ac:dyDescent="0.3">
      <c r="A27" s="97" t="s">
        <v>354</v>
      </c>
      <c r="B27" s="28">
        <v>5494.09</v>
      </c>
      <c r="C27" s="93"/>
      <c r="D27" s="92"/>
      <c r="E27" s="77"/>
      <c r="F27" s="77"/>
      <c r="G27" s="77"/>
    </row>
    <row r="28" spans="1:7" ht="16.5" thickBot="1" x14ac:dyDescent="0.3">
      <c r="A28" s="97" t="s">
        <v>249</v>
      </c>
      <c r="B28" s="28">
        <v>5781.36</v>
      </c>
      <c r="C28" s="89"/>
      <c r="D28" s="95"/>
      <c r="E28" s="77"/>
      <c r="F28" s="77"/>
      <c r="G28" s="77"/>
    </row>
    <row r="29" spans="1:7" ht="16.5" hidden="1" thickBot="1" x14ac:dyDescent="0.3">
      <c r="A29" s="97" t="s">
        <v>250</v>
      </c>
      <c r="B29" s="28"/>
      <c r="C29" s="98"/>
      <c r="D29" s="92"/>
      <c r="E29" s="77"/>
      <c r="F29" s="77"/>
      <c r="G29" s="77"/>
    </row>
    <row r="30" spans="1:7" ht="15.75" x14ac:dyDescent="0.25">
      <c r="A30" s="99"/>
      <c r="B30" s="23"/>
      <c r="C30" s="94"/>
      <c r="D30" s="95"/>
      <c r="E30" s="77"/>
      <c r="F30" s="77"/>
      <c r="G30" s="77"/>
    </row>
    <row r="31" spans="1:7" ht="15.75" x14ac:dyDescent="0.25">
      <c r="A31" s="100" t="s">
        <v>251</v>
      </c>
      <c r="B31" s="23"/>
      <c r="C31" s="92"/>
      <c r="D31" s="95"/>
      <c r="E31" s="77"/>
      <c r="F31" s="77"/>
      <c r="G31" s="77"/>
    </row>
    <row r="32" spans="1:7" s="103" customFormat="1" ht="31.5" x14ac:dyDescent="0.25">
      <c r="A32" s="101" t="s">
        <v>252</v>
      </c>
      <c r="B32" s="208">
        <f>SUM(B33:B41)</f>
        <v>209476.32626199999</v>
      </c>
      <c r="C32" s="92"/>
      <c r="D32" s="95"/>
      <c r="E32" s="102">
        <f>(B86-B26-B24)/1.2/1.03</f>
        <v>340966.61883565644</v>
      </c>
      <c r="F32" s="102" t="e">
        <f>(#REF!-#REF!-#REF!)/1.2/1.03</f>
        <v>#REF!</v>
      </c>
      <c r="G32" s="102" t="e">
        <f>(#REF!-#REF!-#REF!)/1.2/1.03</f>
        <v>#REF!</v>
      </c>
    </row>
    <row r="33" spans="1:7" ht="16.5" thickBot="1" x14ac:dyDescent="0.3">
      <c r="A33" s="104" t="s">
        <v>253</v>
      </c>
      <c r="B33" s="23">
        <f>22352.23*1.1194</f>
        <v>25021.086261999997</v>
      </c>
      <c r="C33" s="96"/>
      <c r="D33" s="95">
        <v>15644.13</v>
      </c>
      <c r="E33" s="77"/>
      <c r="F33" s="77"/>
      <c r="G33" s="77"/>
    </row>
    <row r="34" spans="1:7" ht="15.75" hidden="1" x14ac:dyDescent="0.25">
      <c r="A34" s="104" t="s">
        <v>257</v>
      </c>
      <c r="B34" s="23">
        <v>0</v>
      </c>
      <c r="C34" s="90"/>
      <c r="D34" s="92">
        <v>0</v>
      </c>
      <c r="E34" s="77"/>
      <c r="F34" s="77"/>
      <c r="G34" s="77"/>
    </row>
    <row r="35" spans="1:7" ht="15.75" x14ac:dyDescent="0.25">
      <c r="A35" s="104" t="s">
        <v>256</v>
      </c>
      <c r="B35" s="23">
        <v>172899.75</v>
      </c>
      <c r="C35" s="95"/>
      <c r="D35" s="92">
        <v>0</v>
      </c>
      <c r="E35" s="77"/>
      <c r="F35" s="77"/>
      <c r="G35" s="77"/>
    </row>
    <row r="36" spans="1:7" ht="16.5" thickBot="1" x14ac:dyDescent="0.3">
      <c r="A36" s="104" t="s">
        <v>255</v>
      </c>
      <c r="B36" s="23">
        <v>11555.49</v>
      </c>
      <c r="C36" s="95" t="s">
        <v>234</v>
      </c>
      <c r="D36" s="92">
        <v>0</v>
      </c>
      <c r="E36" s="77"/>
      <c r="F36" s="77"/>
      <c r="G36" s="77"/>
    </row>
    <row r="37" spans="1:7" ht="16.5" hidden="1" thickBot="1" x14ac:dyDescent="0.3">
      <c r="A37" s="104" t="s">
        <v>257</v>
      </c>
      <c r="B37" s="23">
        <v>0</v>
      </c>
      <c r="C37" s="95"/>
      <c r="D37" s="92">
        <v>0</v>
      </c>
      <c r="E37" s="77"/>
      <c r="F37" s="77"/>
      <c r="G37" s="77"/>
    </row>
    <row r="38" spans="1:7" ht="16.5" hidden="1" thickBot="1" x14ac:dyDescent="0.3">
      <c r="A38" s="104" t="s">
        <v>479</v>
      </c>
      <c r="B38" s="23">
        <v>0</v>
      </c>
      <c r="C38" s="95"/>
      <c r="D38" s="92">
        <v>0</v>
      </c>
      <c r="E38" s="77"/>
      <c r="F38" s="77"/>
      <c r="G38" s="77"/>
    </row>
    <row r="39" spans="1:7" ht="16.5" hidden="1" thickBot="1" x14ac:dyDescent="0.3">
      <c r="A39" s="104" t="s">
        <v>324</v>
      </c>
      <c r="B39" s="23">
        <v>0</v>
      </c>
      <c r="C39" s="95"/>
      <c r="D39" s="92">
        <v>0</v>
      </c>
      <c r="E39" s="77"/>
      <c r="F39" s="77"/>
      <c r="G39" s="77"/>
    </row>
    <row r="40" spans="1:7" ht="16.5" hidden="1" thickBot="1" x14ac:dyDescent="0.3">
      <c r="A40" s="104" t="s">
        <v>480</v>
      </c>
      <c r="B40" s="23">
        <v>0</v>
      </c>
      <c r="C40" s="95"/>
      <c r="D40" s="92"/>
      <c r="E40" s="77"/>
      <c r="F40" s="77"/>
      <c r="G40" s="77"/>
    </row>
    <row r="41" spans="1:7" ht="16.5" hidden="1" thickBot="1" x14ac:dyDescent="0.3">
      <c r="A41" s="104" t="s">
        <v>481</v>
      </c>
      <c r="B41" s="23">
        <v>0</v>
      </c>
      <c r="C41" s="93"/>
      <c r="D41" s="92"/>
      <c r="E41" s="77"/>
      <c r="F41" s="77"/>
      <c r="G41" s="77"/>
    </row>
    <row r="42" spans="1:7" s="103" customFormat="1" ht="48" thickBot="1" x14ac:dyDescent="0.3">
      <c r="A42" s="101" t="s">
        <v>325</v>
      </c>
      <c r="B42" s="208">
        <f>SUM(B43:B45)</f>
        <v>44875.812800447631</v>
      </c>
      <c r="C42" s="89"/>
      <c r="D42" s="95"/>
      <c r="E42" s="102"/>
      <c r="F42" s="102"/>
      <c r="G42" s="102"/>
    </row>
    <row r="43" spans="1:7" ht="15.75" x14ac:dyDescent="0.25">
      <c r="A43" s="104" t="s">
        <v>262</v>
      </c>
      <c r="B43" s="23">
        <v>3813.78</v>
      </c>
      <c r="C43" s="98"/>
      <c r="D43" s="108"/>
      <c r="E43" s="77"/>
      <c r="F43" s="77"/>
      <c r="G43" s="77"/>
    </row>
    <row r="44" spans="1:7" ht="15.75" x14ac:dyDescent="0.25">
      <c r="A44" s="104" t="s">
        <v>263</v>
      </c>
      <c r="B44" s="23">
        <v>30277.289999999997</v>
      </c>
      <c r="C44" s="93"/>
      <c r="D44" s="108"/>
      <c r="E44" s="77"/>
      <c r="F44" s="77"/>
      <c r="G44" s="77"/>
    </row>
    <row r="45" spans="1:7" ht="16.5" thickBot="1" x14ac:dyDescent="0.3">
      <c r="A45" s="109" t="s">
        <v>264</v>
      </c>
      <c r="B45" s="23">
        <f>('[3]34тарифы'!D163*B15+231.52)*1.1194</f>
        <v>10784.742800447631</v>
      </c>
      <c r="C45" s="93"/>
      <c r="D45" s="108"/>
      <c r="E45" s="77"/>
      <c r="F45" s="77"/>
      <c r="G45" s="77"/>
    </row>
    <row r="46" spans="1:7" s="79" customFormat="1" ht="16.5" thickBot="1" x14ac:dyDescent="0.3">
      <c r="A46" s="101" t="s">
        <v>265</v>
      </c>
      <c r="B46" s="208">
        <f>SUM(B47:B65)</f>
        <v>73680.299999999988</v>
      </c>
      <c r="C46" s="89"/>
      <c r="D46" s="95"/>
    </row>
    <row r="47" spans="1:7" ht="15.75" x14ac:dyDescent="0.25">
      <c r="A47" s="104" t="s">
        <v>326</v>
      </c>
      <c r="B47" s="288">
        <v>731.64</v>
      </c>
      <c r="C47" s="90"/>
      <c r="D47" s="92"/>
      <c r="E47" s="77" t="s">
        <v>267</v>
      </c>
      <c r="F47" s="77"/>
      <c r="G47" s="77"/>
    </row>
    <row r="48" spans="1:7" ht="15.75" x14ac:dyDescent="0.25">
      <c r="A48" s="104" t="s">
        <v>317</v>
      </c>
      <c r="B48" s="288">
        <v>888.42</v>
      </c>
      <c r="C48" s="95"/>
      <c r="D48" s="92"/>
      <c r="E48" s="77" t="s">
        <v>269</v>
      </c>
      <c r="F48" s="77"/>
      <c r="G48" s="77">
        <v>101098</v>
      </c>
    </row>
    <row r="49" spans="1:5" ht="15.75" x14ac:dyDescent="0.25">
      <c r="A49" s="110" t="s">
        <v>282</v>
      </c>
      <c r="B49" s="23">
        <v>157.44999999999999</v>
      </c>
      <c r="C49" s="95"/>
      <c r="D49" s="92"/>
      <c r="E49" s="77"/>
    </row>
    <row r="50" spans="1:5" ht="15.75" x14ac:dyDescent="0.25">
      <c r="A50" s="110" t="s">
        <v>482</v>
      </c>
      <c r="B50" s="283">
        <v>0</v>
      </c>
      <c r="C50" s="95"/>
      <c r="D50" s="92">
        <v>4190</v>
      </c>
      <c r="E50" s="77"/>
    </row>
    <row r="51" spans="1:5" ht="15.75" hidden="1" x14ac:dyDescent="0.25">
      <c r="A51" s="110" t="s">
        <v>395</v>
      </c>
      <c r="B51" s="23">
        <v>0</v>
      </c>
      <c r="C51" s="95"/>
      <c r="D51" s="92"/>
      <c r="E51" s="77"/>
    </row>
    <row r="52" spans="1:5" ht="15.75" x14ac:dyDescent="0.25">
      <c r="A52" s="110" t="s">
        <v>542</v>
      </c>
      <c r="B52" s="23">
        <v>4200</v>
      </c>
      <c r="C52" s="95"/>
      <c r="D52" s="92">
        <v>105.14</v>
      </c>
      <c r="E52" s="77"/>
    </row>
    <row r="53" spans="1:5" ht="15.75" hidden="1" x14ac:dyDescent="0.25">
      <c r="A53" s="110" t="s">
        <v>347</v>
      </c>
      <c r="B53" s="23">
        <v>0</v>
      </c>
      <c r="C53" s="95">
        <v>0</v>
      </c>
      <c r="D53" s="92">
        <v>522.99</v>
      </c>
      <c r="E53" s="77"/>
    </row>
    <row r="54" spans="1:5" ht="15.75" x14ac:dyDescent="0.25">
      <c r="A54" s="110" t="s">
        <v>275</v>
      </c>
      <c r="B54" s="23">
        <v>8133.61</v>
      </c>
      <c r="C54" s="95">
        <v>1</v>
      </c>
      <c r="D54" s="111">
        <v>695.13</v>
      </c>
      <c r="E54" s="77"/>
    </row>
    <row r="55" spans="1:5" ht="15.75" hidden="1" x14ac:dyDescent="0.25">
      <c r="A55" s="110" t="s">
        <v>440</v>
      </c>
      <c r="B55" s="23">
        <v>0</v>
      </c>
      <c r="C55" s="95"/>
      <c r="D55" s="111"/>
      <c r="E55" s="77"/>
    </row>
    <row r="56" spans="1:5" ht="15.75" hidden="1" x14ac:dyDescent="0.25">
      <c r="A56" s="110" t="s">
        <v>277</v>
      </c>
      <c r="B56" s="23">
        <v>0</v>
      </c>
      <c r="C56" s="95">
        <v>1</v>
      </c>
      <c r="D56" s="92">
        <v>5306.39</v>
      </c>
      <c r="E56" s="77"/>
    </row>
    <row r="57" spans="1:5" ht="15.75" hidden="1" x14ac:dyDescent="0.25">
      <c r="A57" s="110" t="s">
        <v>483</v>
      </c>
      <c r="B57" s="23">
        <v>0</v>
      </c>
      <c r="C57" s="95">
        <v>0</v>
      </c>
      <c r="D57" s="92">
        <f>2300/1.18</f>
        <v>1949.1525423728815</v>
      </c>
      <c r="E57" s="77"/>
    </row>
    <row r="58" spans="1:5" ht="15.75" x14ac:dyDescent="0.25">
      <c r="A58" s="110" t="s">
        <v>484</v>
      </c>
      <c r="B58" s="23">
        <v>50400</v>
      </c>
      <c r="C58" s="93">
        <v>0</v>
      </c>
      <c r="D58" s="92">
        <v>0</v>
      </c>
      <c r="E58" s="77"/>
    </row>
    <row r="59" spans="1:5" ht="16.5" hidden="1" thickBot="1" x14ac:dyDescent="0.3">
      <c r="A59" s="110" t="s">
        <v>279</v>
      </c>
      <c r="B59" s="23">
        <f>B13*'[3]34тарифы'!D184</f>
        <v>0</v>
      </c>
      <c r="C59" s="89"/>
      <c r="D59" s="95"/>
      <c r="E59" s="77"/>
    </row>
    <row r="60" spans="1:5" ht="15.75" hidden="1" x14ac:dyDescent="0.25">
      <c r="A60" s="104" t="s">
        <v>280</v>
      </c>
      <c r="B60" s="23">
        <v>0</v>
      </c>
      <c r="C60" s="90"/>
      <c r="D60" s="92"/>
      <c r="E60" s="77"/>
    </row>
    <row r="61" spans="1:5" ht="15.75" hidden="1" x14ac:dyDescent="0.25">
      <c r="A61" s="104" t="s">
        <v>281</v>
      </c>
      <c r="B61" s="23">
        <v>0</v>
      </c>
      <c r="C61" s="95"/>
      <c r="D61" s="92">
        <v>33500</v>
      </c>
      <c r="E61" s="77"/>
    </row>
    <row r="62" spans="1:5" ht="15.75" hidden="1" x14ac:dyDescent="0.25">
      <c r="A62" s="104" t="s">
        <v>340</v>
      </c>
      <c r="B62" s="23">
        <v>0</v>
      </c>
      <c r="C62" s="95"/>
      <c r="D62" s="92">
        <v>0</v>
      </c>
      <c r="E62" s="77"/>
    </row>
    <row r="63" spans="1:5" ht="16.5" thickBot="1" x14ac:dyDescent="0.3">
      <c r="A63" s="104" t="s">
        <v>283</v>
      </c>
      <c r="B63" s="229">
        <v>9169.18</v>
      </c>
      <c r="C63" s="113">
        <v>1</v>
      </c>
      <c r="D63" s="92">
        <v>0</v>
      </c>
      <c r="E63" s="77"/>
    </row>
    <row r="64" spans="1:5" ht="16.5" hidden="1" thickBot="1" x14ac:dyDescent="0.3">
      <c r="A64" s="104" t="s">
        <v>284</v>
      </c>
      <c r="B64" s="229">
        <v>0</v>
      </c>
      <c r="C64" s="114">
        <v>39</v>
      </c>
      <c r="D64" s="95">
        <v>1</v>
      </c>
      <c r="E64" s="77">
        <v>0</v>
      </c>
    </row>
    <row r="65" spans="1:4" ht="16.5" hidden="1" thickBot="1" x14ac:dyDescent="0.3">
      <c r="A65" s="104" t="s">
        <v>285</v>
      </c>
      <c r="B65" s="229">
        <v>0</v>
      </c>
      <c r="C65" s="115"/>
      <c r="D65" s="108">
        <v>0</v>
      </c>
    </row>
    <row r="66" spans="1:4" s="79" customFormat="1" ht="16.5" thickBot="1" x14ac:dyDescent="0.3">
      <c r="A66" s="116" t="s">
        <v>286</v>
      </c>
      <c r="B66" s="208">
        <f>SUM(B67:B74)</f>
        <v>136577.20060512648</v>
      </c>
      <c r="C66" s="89"/>
      <c r="D66" s="93"/>
    </row>
    <row r="67" spans="1:4" ht="16.5" hidden="1" thickBot="1" x14ac:dyDescent="0.3">
      <c r="A67" s="104" t="s">
        <v>287</v>
      </c>
      <c r="B67" s="23">
        <v>0</v>
      </c>
      <c r="C67" s="98"/>
      <c r="D67" s="108"/>
    </row>
    <row r="68" spans="1:4" ht="16.5" thickBot="1" x14ac:dyDescent="0.3">
      <c r="A68" s="104" t="s">
        <v>288</v>
      </c>
      <c r="B68" s="23">
        <f>54851.15*1.04*1.1194</f>
        <v>63856.392402400001</v>
      </c>
      <c r="C68" s="89"/>
      <c r="D68" s="93"/>
    </row>
    <row r="69" spans="1:4" ht="15.75" hidden="1" x14ac:dyDescent="0.25">
      <c r="A69" s="104" t="s">
        <v>289</v>
      </c>
      <c r="B69" s="23">
        <v>0</v>
      </c>
      <c r="C69" s="98"/>
      <c r="D69" s="108"/>
    </row>
    <row r="70" spans="1:4" ht="16.5" thickBot="1" x14ac:dyDescent="0.3">
      <c r="A70" s="109" t="s">
        <v>290</v>
      </c>
      <c r="B70" s="23">
        <f>'[3]34тарифы'!D164*B13*1.1194</f>
        <v>2143.8911935088336</v>
      </c>
      <c r="C70" s="93"/>
      <c r="D70" s="108"/>
    </row>
    <row r="71" spans="1:4" ht="15.75" x14ac:dyDescent="0.25">
      <c r="A71" s="109" t="s">
        <v>291</v>
      </c>
      <c r="B71" s="23">
        <f>VLOOKUP(A71,[2]Лист1!S$1:T$65536,2,FALSE)*B15</f>
        <v>8196.7188375894311</v>
      </c>
      <c r="C71" s="117"/>
      <c r="D71" s="93"/>
    </row>
    <row r="72" spans="1:4" ht="15.75" x14ac:dyDescent="0.25">
      <c r="A72" s="109" t="s">
        <v>292</v>
      </c>
      <c r="B72" s="23">
        <f>VLOOKUP(A72,[2]Лист1!S$1:T$65536,2,FALSE)*B15</f>
        <v>28613.273291628215</v>
      </c>
      <c r="C72" s="108"/>
      <c r="D72" s="93"/>
    </row>
    <row r="73" spans="1:4" ht="15.75" x14ac:dyDescent="0.25">
      <c r="A73" s="41" t="s">
        <v>293</v>
      </c>
      <c r="B73" s="23">
        <f>3071*1.04*1.1194</f>
        <v>3575.1844959999999</v>
      </c>
      <c r="C73" s="108"/>
      <c r="D73" s="93"/>
    </row>
    <row r="74" spans="1:4" ht="15.75" x14ac:dyDescent="0.25">
      <c r="A74" s="109" t="s">
        <v>294</v>
      </c>
      <c r="B74" s="23">
        <f>25934*1.04*1.1194</f>
        <v>30191.740384000001</v>
      </c>
      <c r="C74" s="108"/>
      <c r="D74" s="93"/>
    </row>
    <row r="75" spans="1:4" ht="47.25" x14ac:dyDescent="0.25">
      <c r="A75" s="118" t="s">
        <v>328</v>
      </c>
      <c r="B75" s="208">
        <f>SUM(B76:B76)</f>
        <v>66144.594311487337</v>
      </c>
      <c r="C75" s="108"/>
      <c r="D75" s="93"/>
    </row>
    <row r="76" spans="1:4" ht="15.75" x14ac:dyDescent="0.25">
      <c r="A76" s="109" t="s">
        <v>296</v>
      </c>
      <c r="B76" s="23">
        <f>'[3]34ОЭР'!D231*1.1194*1.1194</f>
        <v>66144.594311487337</v>
      </c>
      <c r="C76" s="108"/>
      <c r="D76" s="93"/>
    </row>
    <row r="77" spans="1:4" s="79" customFormat="1" ht="15.75" x14ac:dyDescent="0.25">
      <c r="A77" s="116" t="s">
        <v>297</v>
      </c>
      <c r="B77" s="208">
        <f>SUM(B78:B81)</f>
        <v>57273.606539442786</v>
      </c>
      <c r="C77" s="108"/>
      <c r="D77" s="93"/>
    </row>
    <row r="78" spans="1:4" ht="32.25" thickBot="1" x14ac:dyDescent="0.3">
      <c r="A78" s="119" t="s">
        <v>329</v>
      </c>
      <c r="B78" s="23">
        <f>'[3]34тарифы'!D170*B15*1.1194</f>
        <v>42749.626778566373</v>
      </c>
      <c r="C78" s="96"/>
      <c r="D78" s="93"/>
    </row>
    <row r="79" spans="1:4" ht="16.5" thickBot="1" x14ac:dyDescent="0.3">
      <c r="A79" s="51" t="s">
        <v>299</v>
      </c>
      <c r="B79" s="23">
        <f>(B26/1.2)*30%</f>
        <v>1598.6224999999999</v>
      </c>
      <c r="C79" s="98"/>
      <c r="D79" s="108"/>
    </row>
    <row r="80" spans="1:4" ht="15.75" x14ac:dyDescent="0.25">
      <c r="A80" s="120" t="s">
        <v>330</v>
      </c>
      <c r="B80" s="23">
        <f>5367.06+3741.63</f>
        <v>9108.69</v>
      </c>
      <c r="C80" s="117"/>
      <c r="D80" s="93"/>
    </row>
    <row r="81" spans="1:4" ht="15.75" x14ac:dyDescent="0.25">
      <c r="A81" s="120" t="s">
        <v>331</v>
      </c>
      <c r="B81" s="23">
        <f>'[3]34тарифы'!D173*B13*1.1194</f>
        <v>3816.6672608764125</v>
      </c>
      <c r="C81" s="108"/>
      <c r="D81" s="93"/>
    </row>
    <row r="82" spans="1:4" ht="15.75" x14ac:dyDescent="0.25">
      <c r="A82" s="121" t="s">
        <v>302</v>
      </c>
      <c r="B82" s="28">
        <f>B32+B42+B46+B66+B75+B77</f>
        <v>588027.84051850426</v>
      </c>
      <c r="C82" s="108"/>
      <c r="D82" s="93"/>
    </row>
    <row r="83" spans="1:4" ht="15.75" x14ac:dyDescent="0.25">
      <c r="A83" s="122" t="s">
        <v>303</v>
      </c>
      <c r="B83" s="23">
        <f>B82*0.03</f>
        <v>17640.835215555126</v>
      </c>
      <c r="C83" s="108"/>
      <c r="D83" s="93"/>
    </row>
    <row r="84" spans="1:4" s="103" customFormat="1" ht="15.75" x14ac:dyDescent="0.25">
      <c r="A84" s="123" t="s">
        <v>304</v>
      </c>
      <c r="B84" s="208">
        <f>B82+B83</f>
        <v>605668.67573405942</v>
      </c>
      <c r="C84" s="108"/>
      <c r="D84" s="93"/>
    </row>
    <row r="85" spans="1:4" ht="16.5" thickBot="1" x14ac:dyDescent="0.3">
      <c r="A85" s="124" t="s">
        <v>305</v>
      </c>
      <c r="B85" s="240">
        <f>B84*0.2</f>
        <v>121133.73514681189</v>
      </c>
      <c r="C85" s="108"/>
      <c r="D85" s="93"/>
    </row>
    <row r="86" spans="1:4" s="79" customFormat="1" ht="16.5" thickBot="1" x14ac:dyDescent="0.3">
      <c r="A86" s="125" t="s">
        <v>306</v>
      </c>
      <c r="B86" s="66">
        <f>B84+B85</f>
        <v>726802.41088087135</v>
      </c>
      <c r="C86" s="89"/>
      <c r="D86" s="126"/>
    </row>
    <row r="87" spans="1:4" s="79" customFormat="1" ht="16.5" thickBot="1" x14ac:dyDescent="0.3">
      <c r="A87" s="127" t="s">
        <v>307</v>
      </c>
      <c r="B87" s="296">
        <f>B10+B24+B26+B28+B29-B86</f>
        <v>-2095273.5108808712</v>
      </c>
      <c r="C87" s="128"/>
      <c r="D87" s="129"/>
    </row>
    <row r="88" spans="1:4" s="79" customFormat="1" ht="16.5" thickBot="1" x14ac:dyDescent="0.3">
      <c r="A88" s="130" t="s">
        <v>308</v>
      </c>
      <c r="B88" s="66">
        <f>B10+B25+B27+B28+B29-B86</f>
        <v>-2092519.020880871</v>
      </c>
      <c r="C88" s="131"/>
      <c r="D88" s="129"/>
    </row>
    <row r="89" spans="1:4" s="79" customFormat="1" ht="16.5" hidden="1" thickBot="1" x14ac:dyDescent="0.3">
      <c r="A89" s="132" t="s">
        <v>309</v>
      </c>
      <c r="B89" s="66">
        <f>B11+B24-B25</f>
        <v>-3654.890000000014</v>
      </c>
      <c r="C89" s="129"/>
      <c r="D89" s="129"/>
    </row>
    <row r="90" spans="1:4" s="79" customFormat="1" ht="15.75" x14ac:dyDescent="0.25">
      <c r="A90" s="133"/>
      <c r="B90" s="242"/>
      <c r="C90" s="129"/>
      <c r="D90" s="129"/>
    </row>
    <row r="91" spans="1:4" ht="15.75" x14ac:dyDescent="0.25">
      <c r="A91" s="134"/>
      <c r="B91" s="3"/>
      <c r="C91" s="77"/>
      <c r="D91" s="77"/>
    </row>
    <row r="92" spans="1:4" ht="15.75" x14ac:dyDescent="0.25">
      <c r="A92" s="323" t="s">
        <v>332</v>
      </c>
      <c r="B92" s="323"/>
      <c r="C92" s="77"/>
      <c r="D92" s="77"/>
    </row>
    <row r="93" spans="1:4" ht="15.75" x14ac:dyDescent="0.25">
      <c r="A93" s="134"/>
      <c r="B93" s="3"/>
      <c r="C93" s="77"/>
      <c r="D93" s="77"/>
    </row>
    <row r="94" spans="1:4" ht="15.75" hidden="1" x14ac:dyDescent="0.25">
      <c r="A94" s="324" t="s">
        <v>333</v>
      </c>
      <c r="B94" s="324"/>
      <c r="C94" s="135"/>
      <c r="D94" s="77"/>
    </row>
    <row r="95" spans="1:4" ht="15.75" x14ac:dyDescent="0.25">
      <c r="A95" s="77"/>
      <c r="B95" s="3"/>
      <c r="C95" s="77"/>
      <c r="D95" s="77"/>
    </row>
  </sheetData>
  <autoFilter ref="A31:G89" xr:uid="{00000000-0009-0000-0000-000050000000}">
    <filterColumn colId="1">
      <filters>
        <filter val="1 598,62"/>
        <filter val="-1 676 865,64"/>
        <filter val="-1 679 620,13"/>
        <filter val="10 361,49"/>
        <filter val="10 784,74"/>
        <filter val="105 419,63"/>
        <filter val="11 509,89"/>
        <filter val="11 555,49"/>
        <filter val="127 633,26"/>
        <filter val="136 577,20"/>
        <filter val="172 899,75"/>
        <filter val="18 587,37"/>
        <filter val="19 467,40"/>
        <filter val="2 143,89"/>
        <filter val="209 476,33"/>
        <filter val="25 021,09"/>
        <filter val="28 613,27"/>
        <filter val="3 575,18"/>
        <filter val="-3 654,89"/>
        <filter val="3 813,78"/>
        <filter val="3 816,67"/>
        <filter val="30 191,74"/>
        <filter val="30 277,29"/>
        <filter val="4 022,20"/>
        <filter val="42 749,63"/>
        <filter val="44 875,81"/>
        <filter val="57 085,38"/>
        <filter val="57 471,16"/>
        <filter val="619 578,94"/>
        <filter val="63 856,39"/>
        <filter val="638 166,31"/>
        <filter val="66 144,59"/>
        <filter val="731,64"/>
        <filter val="765 799,57"/>
        <filter val="8 196,72"/>
        <filter val="8 920,46"/>
        <filter val="888,42"/>
        <filter val="967,43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74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filterMode="1">
    <pageSetUpPr fitToPage="1"/>
  </sheetPr>
  <dimension ref="A1:G95"/>
  <sheetViews>
    <sheetView view="pageBreakPreview" topLeftCell="A36" zoomScale="80" zoomScaleNormal="100" zoomScaleSheetLayoutView="80" workbookViewId="0">
      <selection activeCell="B81" sqref="B81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25" t="s">
        <v>224</v>
      </c>
      <c r="B1" s="314"/>
      <c r="C1" s="77"/>
      <c r="D1" s="77"/>
    </row>
    <row r="2" spans="1:4" ht="16.5" x14ac:dyDescent="0.25">
      <c r="A2" s="326" t="s">
        <v>225</v>
      </c>
      <c r="B2" s="316"/>
      <c r="C2" s="77"/>
      <c r="D2" s="77"/>
    </row>
    <row r="3" spans="1:4" ht="16.5" x14ac:dyDescent="0.25">
      <c r="A3" s="326" t="s">
        <v>226</v>
      </c>
      <c r="B3" s="316"/>
      <c r="C3" s="77"/>
      <c r="D3" s="77"/>
    </row>
    <row r="4" spans="1:4" ht="15.75" x14ac:dyDescent="0.25">
      <c r="A4" s="78" t="s">
        <v>516</v>
      </c>
      <c r="B4" s="5"/>
      <c r="C4" s="77"/>
      <c r="D4" s="77"/>
    </row>
    <row r="5" spans="1:4" ht="15.75" x14ac:dyDescent="0.25">
      <c r="A5" s="78" t="s">
        <v>19</v>
      </c>
      <c r="B5" s="6"/>
      <c r="C5" s="77"/>
      <c r="D5" s="77"/>
    </row>
    <row r="6" spans="1:4" ht="5.25" customHeight="1" x14ac:dyDescent="0.25">
      <c r="A6" s="78"/>
      <c r="B6" s="7"/>
      <c r="C6" s="79"/>
      <c r="D6" s="77"/>
    </row>
    <row r="7" spans="1:4" ht="16.5" thickBot="1" x14ac:dyDescent="0.3">
      <c r="A7" s="80"/>
      <c r="B7" s="7"/>
      <c r="C7" s="79"/>
      <c r="D7" s="77"/>
    </row>
    <row r="8" spans="1:4" ht="15.75" customHeight="1" x14ac:dyDescent="0.2">
      <c r="A8" s="327" t="s">
        <v>227</v>
      </c>
      <c r="B8" s="319" t="s">
        <v>228</v>
      </c>
      <c r="C8" s="331" t="s">
        <v>229</v>
      </c>
      <c r="D8" s="321" t="s">
        <v>230</v>
      </c>
    </row>
    <row r="9" spans="1:4" ht="28.5" customHeight="1" thickBot="1" x14ac:dyDescent="0.25">
      <c r="A9" s="328"/>
      <c r="B9" s="320"/>
      <c r="C9" s="332"/>
      <c r="D9" s="322"/>
    </row>
    <row r="10" spans="1:4" ht="16.5" thickBot="1" x14ac:dyDescent="0.25">
      <c r="A10" s="81" t="s">
        <v>231</v>
      </c>
      <c r="B10" s="302">
        <f>VLOOKUP(A5,мкд!S:T,2,FALSE)</f>
        <v>-342540.9</v>
      </c>
      <c r="C10" s="83"/>
      <c r="D10" s="84"/>
    </row>
    <row r="11" spans="1:4" ht="16.5" hidden="1" thickBot="1" x14ac:dyDescent="0.25">
      <c r="A11" s="85" t="s">
        <v>232</v>
      </c>
      <c r="B11" s="82"/>
      <c r="C11" s="84"/>
      <c r="D11" s="86"/>
    </row>
    <row r="12" spans="1:4" ht="16.5" thickBot="1" x14ac:dyDescent="0.3">
      <c r="A12" s="87" t="s">
        <v>233</v>
      </c>
      <c r="B12" s="88"/>
      <c r="C12" s="89" t="s">
        <v>234</v>
      </c>
      <c r="D12" s="90" t="s">
        <v>234</v>
      </c>
    </row>
    <row r="13" spans="1:4" ht="16.5" hidden="1" thickBot="1" x14ac:dyDescent="0.3">
      <c r="A13" s="91" t="s">
        <v>235</v>
      </c>
      <c r="B13" s="20">
        <v>1545.8</v>
      </c>
      <c r="C13" s="90" t="s">
        <v>234</v>
      </c>
      <c r="D13" s="92" t="s">
        <v>234</v>
      </c>
    </row>
    <row r="14" spans="1:4" ht="16.5" hidden="1" thickBot="1" x14ac:dyDescent="0.3">
      <c r="A14" s="91" t="s">
        <v>236</v>
      </c>
      <c r="B14" s="20">
        <v>0</v>
      </c>
      <c r="C14" s="93"/>
      <c r="D14" s="92"/>
    </row>
    <row r="15" spans="1:4" ht="15.75" x14ac:dyDescent="0.25">
      <c r="A15" s="91" t="s">
        <v>237</v>
      </c>
      <c r="B15" s="20">
        <f>B13+B14</f>
        <v>1545.8</v>
      </c>
      <c r="C15" s="94"/>
      <c r="D15" s="95"/>
    </row>
    <row r="16" spans="1:4" ht="16.5" thickBot="1" x14ac:dyDescent="0.3">
      <c r="A16" s="91" t="s">
        <v>238</v>
      </c>
      <c r="B16" s="20">
        <f>841+2459.7/3</f>
        <v>1660.9</v>
      </c>
      <c r="C16" s="96" t="s">
        <v>234</v>
      </c>
      <c r="D16" s="95" t="s">
        <v>234</v>
      </c>
    </row>
    <row r="17" spans="1:7" ht="16.5" hidden="1" thickBot="1" x14ac:dyDescent="0.3">
      <c r="A17" s="91" t="s">
        <v>239</v>
      </c>
      <c r="B17" s="20">
        <v>0</v>
      </c>
      <c r="C17" s="90" t="s">
        <v>234</v>
      </c>
      <c r="D17" s="92" t="s">
        <v>234</v>
      </c>
      <c r="E17" s="77"/>
      <c r="F17" s="77"/>
      <c r="G17" s="77"/>
    </row>
    <row r="18" spans="1:7" ht="16.5" hidden="1" thickBot="1" x14ac:dyDescent="0.3">
      <c r="A18" s="91" t="s">
        <v>240</v>
      </c>
      <c r="B18" s="20">
        <v>648.6</v>
      </c>
      <c r="C18" s="95" t="s">
        <v>234</v>
      </c>
      <c r="D18" s="92" t="s">
        <v>234</v>
      </c>
      <c r="E18" s="77"/>
      <c r="F18" s="77"/>
      <c r="G18" s="77"/>
    </row>
    <row r="19" spans="1:7" ht="16.5" hidden="1" thickBot="1" x14ac:dyDescent="0.3">
      <c r="A19" s="91" t="s">
        <v>241</v>
      </c>
      <c r="B19" s="20">
        <v>0</v>
      </c>
      <c r="C19" s="95" t="s">
        <v>234</v>
      </c>
      <c r="D19" s="92" t="s">
        <v>234</v>
      </c>
      <c r="E19" s="77"/>
      <c r="F19" s="77"/>
      <c r="G19" s="77"/>
    </row>
    <row r="20" spans="1:7" ht="16.5" hidden="1" thickBot="1" x14ac:dyDescent="0.3">
      <c r="A20" s="91" t="s">
        <v>242</v>
      </c>
      <c r="B20" s="20">
        <v>826</v>
      </c>
      <c r="C20" s="95"/>
      <c r="D20" s="92"/>
      <c r="E20" s="77"/>
      <c r="F20" s="77"/>
      <c r="G20" s="77"/>
    </row>
    <row r="21" spans="1:7" ht="16.5" hidden="1" thickBot="1" x14ac:dyDescent="0.3">
      <c r="A21" s="91" t="s">
        <v>243</v>
      </c>
      <c r="B21" s="20">
        <v>0</v>
      </c>
      <c r="C21" s="95" t="s">
        <v>234</v>
      </c>
      <c r="D21" s="92" t="s">
        <v>234</v>
      </c>
      <c r="E21" s="77"/>
      <c r="F21" s="77"/>
      <c r="G21" s="77"/>
    </row>
    <row r="22" spans="1:7" ht="16.5" hidden="1" thickBot="1" x14ac:dyDescent="0.3">
      <c r="A22" s="91" t="s">
        <v>244</v>
      </c>
      <c r="B22" s="20">
        <v>81</v>
      </c>
      <c r="C22" s="93"/>
      <c r="D22" s="92"/>
      <c r="E22" s="77"/>
      <c r="F22" s="77"/>
      <c r="G22" s="77"/>
    </row>
    <row r="23" spans="1:7" ht="15.75" x14ac:dyDescent="0.25">
      <c r="A23" s="91"/>
      <c r="B23" s="20"/>
      <c r="C23" s="94"/>
      <c r="D23" s="95"/>
      <c r="E23" s="77">
        <v>12</v>
      </c>
      <c r="F23" s="77"/>
      <c r="G23" s="77"/>
    </row>
    <row r="24" spans="1:7" ht="15.75" x14ac:dyDescent="0.25">
      <c r="A24" s="97" t="s">
        <v>319</v>
      </c>
      <c r="B24" s="25">
        <f>VLOOKUP(A5,[1]Лист1!M$1:N$65536,2,FALSE)</f>
        <v>324557.04000000004</v>
      </c>
      <c r="C24" s="92"/>
      <c r="D24" s="95"/>
      <c r="E24" s="26">
        <v>17.5</v>
      </c>
      <c r="F24" s="77"/>
      <c r="G24" s="77"/>
    </row>
    <row r="25" spans="1:7" ht="16.5" thickBot="1" x14ac:dyDescent="0.3">
      <c r="A25" s="97" t="s">
        <v>320</v>
      </c>
      <c r="B25" s="25">
        <f>VLOOKUP(A5,[1]Лист1!M$1:O$65536,3,FALSE)</f>
        <v>337170.29000000004</v>
      </c>
      <c r="C25" s="96"/>
      <c r="D25" s="95"/>
      <c r="E25" s="77"/>
      <c r="F25" s="77"/>
      <c r="G25" s="77"/>
    </row>
    <row r="26" spans="1:7" ht="16.5" hidden="1" thickBot="1" x14ac:dyDescent="0.3">
      <c r="A26" s="97" t="s">
        <v>321</v>
      </c>
      <c r="B26" s="25">
        <v>0</v>
      </c>
      <c r="C26" s="90"/>
      <c r="D26" s="92"/>
      <c r="E26" s="77"/>
      <c r="F26" s="77"/>
      <c r="G26" s="77"/>
    </row>
    <row r="27" spans="1:7" ht="16.5" hidden="1" thickBot="1" x14ac:dyDescent="0.3">
      <c r="A27" s="97" t="s">
        <v>248</v>
      </c>
      <c r="B27" s="25">
        <v>0</v>
      </c>
      <c r="C27" s="93"/>
      <c r="D27" s="92"/>
      <c r="E27" s="77"/>
      <c r="F27" s="77"/>
      <c r="G27" s="77"/>
    </row>
    <row r="28" spans="1:7" ht="16.5" hidden="1" thickBot="1" x14ac:dyDescent="0.3">
      <c r="A28" s="97" t="s">
        <v>249</v>
      </c>
      <c r="B28" s="25"/>
      <c r="C28" s="89"/>
      <c r="D28" s="95"/>
      <c r="E28" s="77"/>
      <c r="F28" s="77"/>
      <c r="G28" s="77"/>
    </row>
    <row r="29" spans="1:7" ht="16.5" hidden="1" thickBot="1" x14ac:dyDescent="0.3">
      <c r="A29" s="97" t="s">
        <v>250</v>
      </c>
      <c r="B29" s="25"/>
      <c r="C29" s="98"/>
      <c r="D29" s="92"/>
      <c r="E29" s="77"/>
      <c r="F29" s="77"/>
      <c r="G29" s="77"/>
    </row>
    <row r="30" spans="1:7" ht="15.75" x14ac:dyDescent="0.25">
      <c r="A30" s="99"/>
      <c r="B30" s="20"/>
      <c r="C30" s="94"/>
      <c r="D30" s="95"/>
      <c r="E30" s="77"/>
      <c r="F30" s="77"/>
      <c r="G30" s="77"/>
    </row>
    <row r="31" spans="1:7" ht="15.75" x14ac:dyDescent="0.25">
      <c r="A31" s="100" t="s">
        <v>251</v>
      </c>
      <c r="B31" s="20"/>
      <c r="C31" s="92"/>
      <c r="D31" s="95"/>
      <c r="E31" s="77"/>
      <c r="F31" s="77"/>
      <c r="G31" s="77"/>
    </row>
    <row r="32" spans="1:7" s="103" customFormat="1" ht="31.5" x14ac:dyDescent="0.25">
      <c r="A32" s="101" t="s">
        <v>252</v>
      </c>
      <c r="B32" s="32">
        <f>SUM(B33:B41)</f>
        <v>23358.9</v>
      </c>
      <c r="C32" s="92"/>
      <c r="D32" s="95"/>
      <c r="E32" s="102">
        <f>(B86-B26-B24)/1.2/1.03</f>
        <v>35067.030144414683</v>
      </c>
      <c r="F32" s="102" t="e">
        <f>(#REF!-#REF!-#REF!)/1.2/1.03</f>
        <v>#REF!</v>
      </c>
      <c r="G32" s="102" t="e">
        <f>(#REF!-#REF!-#REF!)/1.2/1.03</f>
        <v>#REF!</v>
      </c>
    </row>
    <row r="33" spans="1:7" ht="15.75" x14ac:dyDescent="0.25">
      <c r="A33" s="104" t="s">
        <v>253</v>
      </c>
      <c r="B33" s="20">
        <v>14523</v>
      </c>
      <c r="C33" s="92"/>
      <c r="D33" s="95"/>
      <c r="E33" s="77"/>
      <c r="F33" s="77"/>
      <c r="G33" s="77"/>
    </row>
    <row r="34" spans="1:7" ht="15.75" hidden="1" x14ac:dyDescent="0.25">
      <c r="A34" s="104" t="s">
        <v>322</v>
      </c>
      <c r="B34" s="105">
        <v>0</v>
      </c>
      <c r="C34" s="90"/>
      <c r="D34" s="92">
        <v>0</v>
      </c>
      <c r="E34" s="77"/>
      <c r="F34" s="77"/>
      <c r="G34" s="77"/>
    </row>
    <row r="35" spans="1:7" ht="15.75" hidden="1" x14ac:dyDescent="0.25">
      <c r="A35" s="104" t="s">
        <v>256</v>
      </c>
      <c r="B35" s="105">
        <v>0</v>
      </c>
      <c r="C35" s="95"/>
      <c r="D35" s="92">
        <v>0</v>
      </c>
      <c r="E35" s="77"/>
      <c r="F35" s="77"/>
      <c r="G35" s="77"/>
    </row>
    <row r="36" spans="1:7" ht="15.75" x14ac:dyDescent="0.25">
      <c r="A36" s="106" t="s">
        <v>323</v>
      </c>
      <c r="B36" s="20">
        <v>4185.54</v>
      </c>
      <c r="C36" s="95" t="s">
        <v>234</v>
      </c>
      <c r="D36" s="92">
        <v>0</v>
      </c>
      <c r="E36" s="77"/>
      <c r="F36" s="77"/>
      <c r="G36" s="77"/>
    </row>
    <row r="37" spans="1:7" ht="16.5" thickBot="1" x14ac:dyDescent="0.3">
      <c r="A37" s="104" t="s">
        <v>257</v>
      </c>
      <c r="B37" s="107">
        <v>4650.3600000000006</v>
      </c>
      <c r="C37" s="95"/>
      <c r="D37" s="92">
        <v>0</v>
      </c>
      <c r="E37" s="77"/>
      <c r="F37" s="77"/>
      <c r="G37" s="77"/>
    </row>
    <row r="38" spans="1:7" ht="16.5" hidden="1" thickBot="1" x14ac:dyDescent="0.3">
      <c r="A38" s="104" t="s">
        <v>258</v>
      </c>
      <c r="B38" s="23">
        <v>0</v>
      </c>
      <c r="C38" s="95"/>
      <c r="D38" s="92">
        <v>0</v>
      </c>
      <c r="E38" s="77"/>
      <c r="F38" s="77"/>
      <c r="G38" s="77"/>
    </row>
    <row r="39" spans="1:7" ht="16.5" hidden="1" thickBot="1" x14ac:dyDescent="0.3">
      <c r="A39" s="104" t="s">
        <v>324</v>
      </c>
      <c r="B39" s="23">
        <v>0</v>
      </c>
      <c r="C39" s="95"/>
      <c r="D39" s="92">
        <v>0</v>
      </c>
      <c r="E39" s="77"/>
      <c r="F39" s="77"/>
      <c r="G39" s="77"/>
    </row>
    <row r="40" spans="1:7" ht="16.5" hidden="1" thickBot="1" x14ac:dyDescent="0.3">
      <c r="A40" s="104" t="s">
        <v>312</v>
      </c>
      <c r="B40" s="23">
        <v>0</v>
      </c>
      <c r="C40" s="95"/>
      <c r="D40" s="92"/>
      <c r="E40" s="77"/>
      <c r="F40" s="77"/>
      <c r="G40" s="77"/>
    </row>
    <row r="41" spans="1:7" ht="16.5" hidden="1" thickBot="1" x14ac:dyDescent="0.3">
      <c r="A41" s="104" t="s">
        <v>256</v>
      </c>
      <c r="B41" s="20"/>
      <c r="C41" s="93"/>
      <c r="D41" s="92"/>
      <c r="E41" s="77"/>
      <c r="F41" s="77"/>
      <c r="G41" s="77"/>
    </row>
    <row r="42" spans="1:7" s="103" customFormat="1" ht="48" thickBot="1" x14ac:dyDescent="0.3">
      <c r="A42" s="101" t="s">
        <v>325</v>
      </c>
      <c r="B42" s="32">
        <f>SUM(B43:B45)</f>
        <v>10427.028465017476</v>
      </c>
      <c r="C42" s="89"/>
      <c r="D42" s="95"/>
      <c r="E42" s="102"/>
      <c r="F42" s="102"/>
      <c r="G42" s="102"/>
    </row>
    <row r="43" spans="1:7" ht="15.75" hidden="1" x14ac:dyDescent="0.25">
      <c r="A43" s="104" t="s">
        <v>262</v>
      </c>
      <c r="B43" s="20"/>
      <c r="C43" s="98"/>
      <c r="D43" s="108"/>
      <c r="E43" s="77"/>
      <c r="F43" s="77"/>
      <c r="G43" s="77"/>
    </row>
    <row r="44" spans="1:7" ht="15.75" x14ac:dyDescent="0.25">
      <c r="A44" s="104" t="s">
        <v>263</v>
      </c>
      <c r="B44" s="20">
        <v>1985.69</v>
      </c>
      <c r="C44" s="93"/>
      <c r="D44" s="108"/>
      <c r="E44" s="77"/>
      <c r="F44" s="77"/>
      <c r="G44" s="77"/>
    </row>
    <row r="45" spans="1:7" ht="16.5" thickBot="1" x14ac:dyDescent="0.3">
      <c r="A45" s="109" t="s">
        <v>264</v>
      </c>
      <c r="B45" s="20">
        <f>[4]тарифы!D163*B15+214.42*1.12</f>
        <v>8441.3384650174758</v>
      </c>
      <c r="C45" s="93"/>
      <c r="D45" s="108"/>
      <c r="E45" s="77"/>
      <c r="F45" s="77"/>
      <c r="G45" s="77"/>
    </row>
    <row r="46" spans="1:7" s="79" customFormat="1" ht="16.5" thickBot="1" x14ac:dyDescent="0.3">
      <c r="A46" s="101" t="s">
        <v>265</v>
      </c>
      <c r="B46" s="32">
        <f>SUM(B47:B65)</f>
        <v>31045.39</v>
      </c>
      <c r="C46" s="89"/>
      <c r="D46" s="95"/>
    </row>
    <row r="47" spans="1:7" ht="15.75" x14ac:dyDescent="0.25">
      <c r="A47" s="104" t="s">
        <v>326</v>
      </c>
      <c r="B47" s="20">
        <v>2724.12</v>
      </c>
      <c r="C47" s="90"/>
      <c r="D47" s="92"/>
      <c r="E47" s="77" t="s">
        <v>267</v>
      </c>
      <c r="F47" s="77"/>
      <c r="G47" s="77"/>
    </row>
    <row r="48" spans="1:7" ht="15.75" x14ac:dyDescent="0.25">
      <c r="A48" s="104" t="s">
        <v>317</v>
      </c>
      <c r="B48" s="20">
        <v>3307.86</v>
      </c>
      <c r="C48" s="95"/>
      <c r="D48" s="92"/>
      <c r="E48" s="77" t="s">
        <v>269</v>
      </c>
      <c r="F48" s="77"/>
      <c r="G48" s="77"/>
    </row>
    <row r="49" spans="1:5" ht="15.75" hidden="1" x14ac:dyDescent="0.25">
      <c r="A49" s="110" t="s">
        <v>270</v>
      </c>
      <c r="B49" s="20">
        <v>0</v>
      </c>
      <c r="C49" s="95"/>
      <c r="D49" s="92"/>
      <c r="E49" s="77"/>
    </row>
    <row r="50" spans="1:5" ht="15.75" hidden="1" x14ac:dyDescent="0.25">
      <c r="A50" s="110" t="s">
        <v>271</v>
      </c>
      <c r="B50" s="20">
        <v>0</v>
      </c>
      <c r="C50" s="95"/>
      <c r="D50" s="92">
        <v>4190</v>
      </c>
      <c r="E50" s="77"/>
    </row>
    <row r="51" spans="1:5" ht="15.75" hidden="1" x14ac:dyDescent="0.25">
      <c r="A51" s="110" t="s">
        <v>272</v>
      </c>
      <c r="B51" s="20">
        <v>0</v>
      </c>
      <c r="C51" s="95"/>
      <c r="D51" s="92"/>
      <c r="E51" s="77"/>
    </row>
    <row r="52" spans="1:5" ht="15.75" hidden="1" x14ac:dyDescent="0.25">
      <c r="A52" s="110" t="s">
        <v>273</v>
      </c>
      <c r="B52" s="20">
        <f>B21*[4]тарифы!D177</f>
        <v>0</v>
      </c>
      <c r="C52" s="95"/>
      <c r="D52" s="92">
        <v>105.14</v>
      </c>
      <c r="E52" s="77"/>
    </row>
    <row r="53" spans="1:5" ht="15.75" hidden="1" x14ac:dyDescent="0.25">
      <c r="A53" s="110" t="s">
        <v>274</v>
      </c>
      <c r="B53" s="20">
        <v>0</v>
      </c>
      <c r="C53" s="95">
        <v>0</v>
      </c>
      <c r="D53" s="92">
        <v>522.99</v>
      </c>
      <c r="E53" s="77"/>
    </row>
    <row r="54" spans="1:5" ht="15.75" hidden="1" x14ac:dyDescent="0.25">
      <c r="A54" s="110" t="s">
        <v>275</v>
      </c>
      <c r="B54" s="20">
        <v>0</v>
      </c>
      <c r="C54" s="95">
        <v>0</v>
      </c>
      <c r="D54" s="111">
        <v>695.13</v>
      </c>
      <c r="E54" s="77"/>
    </row>
    <row r="55" spans="1:5" ht="15.75" hidden="1" x14ac:dyDescent="0.25">
      <c r="A55" s="110" t="s">
        <v>276</v>
      </c>
      <c r="B55" s="20">
        <v>0</v>
      </c>
      <c r="C55" s="95"/>
      <c r="D55" s="111"/>
      <c r="E55" s="77"/>
    </row>
    <row r="56" spans="1:5" ht="15.75" hidden="1" x14ac:dyDescent="0.25">
      <c r="A56" s="110" t="s">
        <v>277</v>
      </c>
      <c r="B56" s="20">
        <v>0</v>
      </c>
      <c r="C56" s="95">
        <v>0</v>
      </c>
      <c r="D56" s="92">
        <f>10695.76/1.18</f>
        <v>9064.203389830509</v>
      </c>
      <c r="E56" s="77"/>
    </row>
    <row r="57" spans="1:5" ht="15.75" hidden="1" x14ac:dyDescent="0.25">
      <c r="A57" s="110" t="s">
        <v>314</v>
      </c>
      <c r="B57" s="20">
        <v>0</v>
      </c>
      <c r="C57" s="95">
        <v>0</v>
      </c>
      <c r="D57" s="92">
        <f>2300/1.18</f>
        <v>1949.1525423728815</v>
      </c>
      <c r="E57" s="77"/>
    </row>
    <row r="58" spans="1:5" ht="15.75" hidden="1" x14ac:dyDescent="0.25">
      <c r="A58" s="110" t="s">
        <v>315</v>
      </c>
      <c r="B58" s="20">
        <v>0</v>
      </c>
      <c r="C58" s="93">
        <v>0</v>
      </c>
      <c r="D58" s="92">
        <v>0</v>
      </c>
      <c r="E58" s="77"/>
    </row>
    <row r="59" spans="1:5" ht="16.5" hidden="1" thickBot="1" x14ac:dyDescent="0.3">
      <c r="A59" s="110" t="s">
        <v>279</v>
      </c>
      <c r="B59" s="20">
        <f>B13*[4]тарифы!D184</f>
        <v>0</v>
      </c>
      <c r="C59" s="89"/>
      <c r="D59" s="95"/>
      <c r="E59" s="77"/>
    </row>
    <row r="60" spans="1:5" ht="15.75" hidden="1" x14ac:dyDescent="0.25">
      <c r="A60" s="104" t="s">
        <v>280</v>
      </c>
      <c r="B60" s="20">
        <v>0</v>
      </c>
      <c r="C60" s="90"/>
      <c r="D60" s="92"/>
      <c r="E60" s="77"/>
    </row>
    <row r="61" spans="1:5" ht="15.75" hidden="1" x14ac:dyDescent="0.25">
      <c r="A61" s="104" t="s">
        <v>281</v>
      </c>
      <c r="B61" s="20">
        <v>0</v>
      </c>
      <c r="C61" s="95"/>
      <c r="D61" s="92">
        <v>0</v>
      </c>
      <c r="E61" s="77"/>
    </row>
    <row r="62" spans="1:5" ht="15.75" hidden="1" x14ac:dyDescent="0.25">
      <c r="A62" s="104" t="s">
        <v>316</v>
      </c>
      <c r="B62" s="20"/>
      <c r="C62" s="95"/>
      <c r="D62" s="92">
        <v>0</v>
      </c>
      <c r="E62" s="77"/>
    </row>
    <row r="63" spans="1:5" ht="16.5" thickBot="1" x14ac:dyDescent="0.3">
      <c r="A63" s="104" t="s">
        <v>327</v>
      </c>
      <c r="B63" s="112">
        <v>13828.69</v>
      </c>
      <c r="C63" s="113">
        <v>1</v>
      </c>
      <c r="D63" s="92">
        <v>0</v>
      </c>
      <c r="E63" s="77"/>
    </row>
    <row r="64" spans="1:5" ht="18" customHeight="1" thickBot="1" x14ac:dyDescent="0.3">
      <c r="A64" s="104" t="s">
        <v>540</v>
      </c>
      <c r="B64" s="112">
        <v>11003.14</v>
      </c>
      <c r="C64" s="114">
        <v>36</v>
      </c>
      <c r="D64" s="95">
        <v>2</v>
      </c>
      <c r="E64" s="77">
        <v>1</v>
      </c>
    </row>
    <row r="65" spans="1:4" s="79" customFormat="1" ht="16.5" thickBot="1" x14ac:dyDescent="0.3">
      <c r="A65" s="104" t="s">
        <v>282</v>
      </c>
      <c r="B65" s="112">
        <v>181.58</v>
      </c>
      <c r="C65" s="115">
        <v>36</v>
      </c>
      <c r="D65" s="108">
        <f>650/1.18</f>
        <v>550.84745762711873</v>
      </c>
    </row>
    <row r="66" spans="1:4" s="79" customFormat="1" ht="16.5" thickBot="1" x14ac:dyDescent="0.3">
      <c r="A66" s="116" t="s">
        <v>286</v>
      </c>
      <c r="B66" s="32">
        <f>SUM(B67:B74)</f>
        <v>127833.15241490791</v>
      </c>
      <c r="C66" s="89"/>
      <c r="D66" s="93"/>
    </row>
    <row r="67" spans="1:4" ht="16.5" hidden="1" thickBot="1" x14ac:dyDescent="0.3">
      <c r="A67" s="104" t="s">
        <v>287</v>
      </c>
      <c r="B67" s="20">
        <v>0</v>
      </c>
      <c r="C67" s="98"/>
      <c r="D67" s="108"/>
    </row>
    <row r="68" spans="1:4" ht="16.5" thickBot="1" x14ac:dyDescent="0.3">
      <c r="A68" s="104" t="s">
        <v>288</v>
      </c>
      <c r="B68" s="20">
        <f>60175*1.04*1.12</f>
        <v>70091.840000000011</v>
      </c>
      <c r="C68" s="89"/>
      <c r="D68" s="93"/>
    </row>
    <row r="69" spans="1:4" ht="16.5" hidden="1" thickBot="1" x14ac:dyDescent="0.3">
      <c r="A69" s="104" t="s">
        <v>289</v>
      </c>
      <c r="B69" s="20">
        <v>0</v>
      </c>
      <c r="C69" s="98"/>
      <c r="D69" s="108"/>
    </row>
    <row r="70" spans="1:4" ht="16.5" hidden="1" thickBot="1" x14ac:dyDescent="0.3">
      <c r="A70" s="109" t="s">
        <v>290</v>
      </c>
      <c r="B70" s="20"/>
      <c r="C70" s="93"/>
      <c r="D70" s="108"/>
    </row>
    <row r="71" spans="1:4" ht="15.75" x14ac:dyDescent="0.25">
      <c r="A71" s="109" t="s">
        <v>291</v>
      </c>
      <c r="B71" s="20">
        <f>[4]тарифы!D165*B15*1.12</f>
        <v>9885.5044149078858</v>
      </c>
      <c r="C71" s="117"/>
      <c r="D71" s="93"/>
    </row>
    <row r="72" spans="1:4" ht="15.75" x14ac:dyDescent="0.25">
      <c r="A72" s="109" t="s">
        <v>292</v>
      </c>
      <c r="B72" s="20">
        <f>15787*1.04*1.12</f>
        <v>18388.6976</v>
      </c>
      <c r="C72" s="108"/>
      <c r="D72" s="93"/>
    </row>
    <row r="73" spans="1:4" ht="15.75" x14ac:dyDescent="0.25">
      <c r="A73" s="41" t="s">
        <v>293</v>
      </c>
      <c r="B73" s="20">
        <f>2678*1.04*1.12</f>
        <v>3119.3344000000002</v>
      </c>
      <c r="C73" s="108"/>
      <c r="D73" s="93"/>
    </row>
    <row r="74" spans="1:4" ht="15.75" x14ac:dyDescent="0.25">
      <c r="A74" s="109" t="s">
        <v>294</v>
      </c>
      <c r="B74" s="20">
        <f>22620*1.04*1.12</f>
        <v>26347.776000000002</v>
      </c>
      <c r="C74" s="108"/>
      <c r="D74" s="93"/>
    </row>
    <row r="75" spans="1:4" ht="47.25" x14ac:dyDescent="0.25">
      <c r="A75" s="118" t="s">
        <v>328</v>
      </c>
      <c r="B75" s="32">
        <f>SUM(B76:B76)</f>
        <v>55199.965184000015</v>
      </c>
      <c r="C75" s="108"/>
      <c r="D75" s="93"/>
    </row>
    <row r="76" spans="1:4" ht="15.75" x14ac:dyDescent="0.25">
      <c r="A76" s="109" t="s">
        <v>296</v>
      </c>
      <c r="B76" s="20">
        <f>47390.08*1.04*1.12</f>
        <v>55199.965184000015</v>
      </c>
      <c r="C76" s="108"/>
      <c r="D76" s="93"/>
    </row>
    <row r="77" spans="1:4" s="79" customFormat="1" ht="15.75" x14ac:dyDescent="0.25">
      <c r="A77" s="116" t="s">
        <v>297</v>
      </c>
      <c r="B77" s="32">
        <f>SUM(B78:B81)</f>
        <v>49789.196022236916</v>
      </c>
      <c r="C77" s="108"/>
      <c r="D77" s="93"/>
    </row>
    <row r="78" spans="1:4" ht="32.25" thickBot="1" x14ac:dyDescent="0.3">
      <c r="A78" s="119" t="s">
        <v>329</v>
      </c>
      <c r="B78" s="20">
        <f>[4]тарифы!D170*B15*1.12</f>
        <v>37306.208497844462</v>
      </c>
      <c r="C78" s="96"/>
      <c r="D78" s="93"/>
    </row>
    <row r="79" spans="1:4" ht="16.5" hidden="1" thickBot="1" x14ac:dyDescent="0.3">
      <c r="A79" s="51" t="s">
        <v>299</v>
      </c>
      <c r="B79" s="20">
        <f>(B26/1.2)*30%</f>
        <v>0</v>
      </c>
      <c r="C79" s="98"/>
      <c r="D79" s="108"/>
    </row>
    <row r="80" spans="1:4" ht="15.75" x14ac:dyDescent="0.25">
      <c r="A80" s="120" t="s">
        <v>330</v>
      </c>
      <c r="B80" s="20">
        <f>4819.04+4265.97</f>
        <v>9085.01</v>
      </c>
      <c r="C80" s="117"/>
      <c r="D80" s="93"/>
    </row>
    <row r="81" spans="1:4" ht="15.75" x14ac:dyDescent="0.25">
      <c r="A81" s="120" t="s">
        <v>331</v>
      </c>
      <c r="B81" s="20">
        <f>[4]тарифы!D173*B13*1.12</f>
        <v>3397.9775243924514</v>
      </c>
      <c r="C81" s="108"/>
      <c r="D81" s="93"/>
    </row>
    <row r="82" spans="1:4" ht="15.75" x14ac:dyDescent="0.25">
      <c r="A82" s="121" t="s">
        <v>302</v>
      </c>
      <c r="B82" s="25">
        <f>B32+B42+B46+B66+B75+B77</f>
        <v>297653.63208616228</v>
      </c>
      <c r="C82" s="108"/>
      <c r="D82" s="93"/>
    </row>
    <row r="83" spans="1:4" ht="15.75" x14ac:dyDescent="0.25">
      <c r="A83" s="122" t="s">
        <v>303</v>
      </c>
      <c r="B83" s="20">
        <f>B82*0.03</f>
        <v>8929.6089625848672</v>
      </c>
      <c r="C83" s="108"/>
      <c r="D83" s="93"/>
    </row>
    <row r="84" spans="1:4" s="103" customFormat="1" ht="15.75" x14ac:dyDescent="0.25">
      <c r="A84" s="123" t="s">
        <v>304</v>
      </c>
      <c r="B84" s="32">
        <f>B82+B83</f>
        <v>306583.24104874715</v>
      </c>
      <c r="C84" s="108"/>
      <c r="D84" s="93"/>
    </row>
    <row r="85" spans="1:4" ht="16.5" thickBot="1" x14ac:dyDescent="0.3">
      <c r="A85" s="124" t="s">
        <v>305</v>
      </c>
      <c r="B85" s="57">
        <f>B84*0.2</f>
        <v>61316.64820974943</v>
      </c>
      <c r="C85" s="108"/>
      <c r="D85" s="93"/>
    </row>
    <row r="86" spans="1:4" s="79" customFormat="1" ht="16.5" thickBot="1" x14ac:dyDescent="0.3">
      <c r="A86" s="125" t="s">
        <v>306</v>
      </c>
      <c r="B86" s="59">
        <f>B84+B85</f>
        <v>367899.88925849658</v>
      </c>
      <c r="C86" s="89"/>
      <c r="D86" s="126"/>
    </row>
    <row r="87" spans="1:4" s="79" customFormat="1" ht="16.5" thickBot="1" x14ac:dyDescent="0.3">
      <c r="A87" s="127" t="s">
        <v>307</v>
      </c>
      <c r="B87" s="296">
        <f>B10+B24+B26+B28+B29-B86</f>
        <v>-385883.74925849657</v>
      </c>
      <c r="C87" s="128"/>
      <c r="D87" s="129"/>
    </row>
    <row r="88" spans="1:4" s="79" customFormat="1" ht="16.5" thickBot="1" x14ac:dyDescent="0.3">
      <c r="A88" s="130" t="s">
        <v>308</v>
      </c>
      <c r="B88" s="59">
        <f>B10+B25+B27+B28+B29-B86</f>
        <v>-373270.49925849657</v>
      </c>
      <c r="C88" s="131"/>
      <c r="D88" s="129"/>
    </row>
    <row r="89" spans="1:4" s="79" customFormat="1" ht="16.5" hidden="1" thickBot="1" x14ac:dyDescent="0.3">
      <c r="A89" s="132" t="s">
        <v>309</v>
      </c>
      <c r="B89" s="66"/>
      <c r="C89" s="129"/>
      <c r="D89" s="129"/>
    </row>
    <row r="90" spans="1:4" s="79" customFormat="1" ht="15.75" x14ac:dyDescent="0.25">
      <c r="A90" s="133"/>
      <c r="B90" s="68"/>
      <c r="C90" s="129"/>
      <c r="D90" s="129"/>
    </row>
    <row r="91" spans="1:4" ht="15.75" x14ac:dyDescent="0.25">
      <c r="A91" s="134"/>
      <c r="B91" s="70"/>
      <c r="C91" s="77"/>
      <c r="D91" s="77"/>
    </row>
    <row r="92" spans="1:4" ht="15.75" x14ac:dyDescent="0.25">
      <c r="A92" s="323" t="s">
        <v>332</v>
      </c>
      <c r="B92" s="310"/>
      <c r="C92" s="77"/>
      <c r="D92" s="77"/>
    </row>
    <row r="93" spans="1:4" ht="15.75" x14ac:dyDescent="0.25">
      <c r="A93" s="134"/>
      <c r="B93" s="70"/>
      <c r="C93" s="77"/>
      <c r="D93" s="77"/>
    </row>
    <row r="94" spans="1:4" ht="15.75" hidden="1" x14ac:dyDescent="0.25">
      <c r="A94" s="324" t="s">
        <v>333</v>
      </c>
      <c r="B94" s="324"/>
      <c r="C94" s="135"/>
      <c r="D94" s="77"/>
    </row>
    <row r="95" spans="1:4" ht="15.75" x14ac:dyDescent="0.25">
      <c r="A95" s="77"/>
      <c r="B95" s="70"/>
      <c r="C95" s="77"/>
      <c r="D95" s="77"/>
    </row>
  </sheetData>
  <autoFilter ref="A31:G89" xr:uid="{00000000-0009-0000-0000-000008000000}">
    <filterColumn colId="1">
      <filters>
        <filter val="1 985,69"/>
        <filter val="10 427,03"/>
        <filter val="127 833,15"/>
        <filter val="14 523,00"/>
        <filter val="15 955,00"/>
        <filter val="18 388,70"/>
        <filter val="2 724,12"/>
        <filter val="23 358,90"/>
        <filter val="24 042,31"/>
        <filter val="26 347,78"/>
        <filter val="3 119,33"/>
        <filter val="3 307,86"/>
        <filter val="3 397,98"/>
        <filter val="312 749,22"/>
        <filter val="322 131,70"/>
        <filter val="-329 927,65"/>
        <filter val="-342 540,90"/>
        <filter val="37 306,21"/>
        <filter val="386 558,04"/>
        <filter val="4 185,54"/>
        <filter val="4 650,36"/>
        <filter val="46 029,29"/>
        <filter val="49 900,89"/>
        <filter val="55 199,97"/>
        <filter val="64 426,34"/>
        <filter val="70 091,84"/>
        <filter val="8 441,34"/>
        <filter val="9 196,70"/>
        <filter val="9 382,48"/>
        <filter val="9 885,50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70866141732283472" right="0.70866141732283472" top="0.74803149606299213" bottom="0.74803149606299213" header="0.31496062992125984" footer="0.31496062992125984"/>
  <pageSetup paperSize="9" scale="7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81</vt:i4>
      </vt:variant>
      <vt:variant>
        <vt:lpstr>Именованные диапазоны</vt:lpstr>
      </vt:variant>
      <vt:variant>
        <vt:i4>79</vt:i4>
      </vt:variant>
    </vt:vector>
  </HeadingPairs>
  <TitlesOfParts>
    <vt:vector size="160" baseType="lpstr">
      <vt:lpstr>Лист1</vt:lpstr>
      <vt:lpstr>мкд</vt:lpstr>
      <vt:lpstr>1-я Стр 42</vt:lpstr>
      <vt:lpstr>1-я Стр 44</vt:lpstr>
      <vt:lpstr>1-я Стр 46</vt:lpstr>
      <vt:lpstr>Даг 7</vt:lpstr>
      <vt:lpstr>Даг 9</vt:lpstr>
      <vt:lpstr>Даг 9-1</vt:lpstr>
      <vt:lpstr>Даг 11</vt:lpstr>
      <vt:lpstr>Даг.11-1</vt:lpstr>
      <vt:lpstr>Даг 13</vt:lpstr>
      <vt:lpstr>Даг 17</vt:lpstr>
      <vt:lpstr>Даг 19</vt:lpstr>
      <vt:lpstr>Даг 31</vt:lpstr>
      <vt:lpstr>Лев 7</vt:lpstr>
      <vt:lpstr>Лев 14-1</vt:lpstr>
      <vt:lpstr>Лев 14-2</vt:lpstr>
      <vt:lpstr>Лев 14-3</vt:lpstr>
      <vt:lpstr>Лев 14-5</vt:lpstr>
      <vt:lpstr>Лев 14-6</vt:lpstr>
      <vt:lpstr>Лев 21а</vt:lpstr>
      <vt:lpstr>Лев 22-2</vt:lpstr>
      <vt:lpstr>Лев 71</vt:lpstr>
      <vt:lpstr>Мин 58</vt:lpstr>
      <vt:lpstr>Мус 7</vt:lpstr>
      <vt:lpstr>Мус 9-а</vt:lpstr>
      <vt:lpstr>Мус 11</vt:lpstr>
      <vt:lpstr>Мус 13</vt:lpstr>
      <vt:lpstr>Мус 13а</vt:lpstr>
      <vt:lpstr>Мус 15</vt:lpstr>
      <vt:lpstr>Мус 15-а</vt:lpstr>
      <vt:lpstr>Мус 17</vt:lpstr>
      <vt:lpstr>Мус 19-1</vt:lpstr>
      <vt:lpstr>Мус 19а</vt:lpstr>
      <vt:lpstr>Мус 19б</vt:lpstr>
      <vt:lpstr>Мус 21</vt:lpstr>
      <vt:lpstr>Мус 25-1</vt:lpstr>
      <vt:lpstr>М.Дж. 66</vt:lpstr>
      <vt:lpstr>Нов 2</vt:lpstr>
      <vt:lpstr>Пр 1</vt:lpstr>
      <vt:lpstr>Пр 2</vt:lpstr>
      <vt:lpstr>Пр 3</vt:lpstr>
      <vt:lpstr>Пр 4</vt:lpstr>
      <vt:lpstr>Пр 4-1</vt:lpstr>
      <vt:lpstr>Пр 6</vt:lpstr>
      <vt:lpstr>Пр 6а</vt:lpstr>
      <vt:lpstr>Пр 8</vt:lpstr>
      <vt:lpstr>Пр 8-1</vt:lpstr>
      <vt:lpstr>Пр 8-а</vt:lpstr>
      <vt:lpstr>Пр 10</vt:lpstr>
      <vt:lpstr>Пр 10-а</vt:lpstr>
      <vt:lpstr>Пр 11</vt:lpstr>
      <vt:lpstr>Пр 13</vt:lpstr>
      <vt:lpstr>Пр 15</vt:lpstr>
      <vt:lpstr>Пр 18</vt:lpstr>
      <vt:lpstr>Пр 18-1</vt:lpstr>
      <vt:lpstr>Пр 18-2</vt:lpstr>
      <vt:lpstr>Пр 18-3</vt:lpstr>
      <vt:lpstr>Пр 20</vt:lpstr>
      <vt:lpstr>Пр 20-1</vt:lpstr>
      <vt:lpstr>Пр 20-2</vt:lpstr>
      <vt:lpstr>Пр 25</vt:lpstr>
      <vt:lpstr>Пр 25-1</vt:lpstr>
      <vt:lpstr>Пр 25-2</vt:lpstr>
      <vt:lpstr>Пр 31-1</vt:lpstr>
      <vt:lpstr>Тал 4</vt:lpstr>
      <vt:lpstr>Тал 6</vt:lpstr>
      <vt:lpstr>Тал 7</vt:lpstr>
      <vt:lpstr>Тал 14</vt:lpstr>
      <vt:lpstr>Тал 21</vt:lpstr>
      <vt:lpstr>Тал 21а</vt:lpstr>
      <vt:lpstr>Тал 23</vt:lpstr>
      <vt:lpstr>Тал 23а</vt:lpstr>
      <vt:lpstr>Тал 23б</vt:lpstr>
      <vt:lpstr>Тал 24-1</vt:lpstr>
      <vt:lpstr>Тал 26-1</vt:lpstr>
      <vt:lpstr>Тал 28-1</vt:lpstr>
      <vt:lpstr>Ухт.26</vt:lpstr>
      <vt:lpstr>Центр 1-2</vt:lpstr>
      <vt:lpstr>Центр 6-1</vt:lpstr>
      <vt:lpstr>Центр 18-1</vt:lpstr>
      <vt:lpstr>'1-я Стр 42'!Область_печати</vt:lpstr>
      <vt:lpstr>'1-я Стр 44'!Область_печати</vt:lpstr>
      <vt:lpstr>'1-я Стр 46'!Область_печати</vt:lpstr>
      <vt:lpstr>'Даг 11'!Область_печати</vt:lpstr>
      <vt:lpstr>'Даг 13'!Область_печати</vt:lpstr>
      <vt:lpstr>'Даг 17'!Область_печати</vt:lpstr>
      <vt:lpstr>'Даг 19'!Область_печати</vt:lpstr>
      <vt:lpstr>'Даг 31'!Область_печати</vt:lpstr>
      <vt:lpstr>'Даг 7'!Область_печати</vt:lpstr>
      <vt:lpstr>'Даг 9'!Область_печати</vt:lpstr>
      <vt:lpstr>'Даг 9-1'!Область_печати</vt:lpstr>
      <vt:lpstr>'Даг.11-1'!Область_печати</vt:lpstr>
      <vt:lpstr>'Лев 14-1'!Область_печати</vt:lpstr>
      <vt:lpstr>'Лев 14-2'!Область_печати</vt:lpstr>
      <vt:lpstr>'Лев 14-3'!Область_печати</vt:lpstr>
      <vt:lpstr>'Лев 14-5'!Область_печати</vt:lpstr>
      <vt:lpstr>'Лев 14-6'!Область_печати</vt:lpstr>
      <vt:lpstr>'Лев 21а'!Область_печати</vt:lpstr>
      <vt:lpstr>'Лев 22-2'!Область_печати</vt:lpstr>
      <vt:lpstr>'Лев 7'!Область_печати</vt:lpstr>
      <vt:lpstr>'Лев 71'!Область_печати</vt:lpstr>
      <vt:lpstr>'М.Дж. 66'!Область_печати</vt:lpstr>
      <vt:lpstr>'Мин 58'!Область_печати</vt:lpstr>
      <vt:lpstr>'Мус 11'!Область_печати</vt:lpstr>
      <vt:lpstr>'Мус 13'!Область_печати</vt:lpstr>
      <vt:lpstr>'Мус 13а'!Область_печати</vt:lpstr>
      <vt:lpstr>'Мус 15'!Область_печати</vt:lpstr>
      <vt:lpstr>'Мус 15-а'!Область_печати</vt:lpstr>
      <vt:lpstr>'Мус 17'!Область_печати</vt:lpstr>
      <vt:lpstr>'Мус 19-1'!Область_печати</vt:lpstr>
      <vt:lpstr>'Мус 19а'!Область_печати</vt:lpstr>
      <vt:lpstr>'Мус 19б'!Область_печати</vt:lpstr>
      <vt:lpstr>'Мус 21'!Область_печати</vt:lpstr>
      <vt:lpstr>'Мус 25-1'!Область_печати</vt:lpstr>
      <vt:lpstr>'Мус 7'!Область_печати</vt:lpstr>
      <vt:lpstr>'Мус 9-а'!Область_печати</vt:lpstr>
      <vt:lpstr>'Нов 2'!Область_печати</vt:lpstr>
      <vt:lpstr>'Пр 1'!Область_печати</vt:lpstr>
      <vt:lpstr>'Пр 10'!Область_печати</vt:lpstr>
      <vt:lpstr>'Пр 10-а'!Область_печати</vt:lpstr>
      <vt:lpstr>'Пр 11'!Область_печати</vt:lpstr>
      <vt:lpstr>'Пр 13'!Область_печати</vt:lpstr>
      <vt:lpstr>'Пр 15'!Область_печати</vt:lpstr>
      <vt:lpstr>'Пр 18'!Область_печати</vt:lpstr>
      <vt:lpstr>'Пр 18-1'!Область_печати</vt:lpstr>
      <vt:lpstr>'Пр 18-2'!Область_печати</vt:lpstr>
      <vt:lpstr>'Пр 18-3'!Область_печати</vt:lpstr>
      <vt:lpstr>'Пр 2'!Область_печати</vt:lpstr>
      <vt:lpstr>'Пр 20'!Область_печати</vt:lpstr>
      <vt:lpstr>'Пр 20-1'!Область_печати</vt:lpstr>
      <vt:lpstr>'Пр 20-2'!Область_печати</vt:lpstr>
      <vt:lpstr>'Пр 25'!Область_печати</vt:lpstr>
      <vt:lpstr>'Пр 25-1'!Область_печати</vt:lpstr>
      <vt:lpstr>'Пр 25-2'!Область_печати</vt:lpstr>
      <vt:lpstr>'Пр 3'!Область_печати</vt:lpstr>
      <vt:lpstr>'Пр 31-1'!Область_печати</vt:lpstr>
      <vt:lpstr>'Пр 4'!Область_печати</vt:lpstr>
      <vt:lpstr>'Пр 4-1'!Область_печати</vt:lpstr>
      <vt:lpstr>'Пр 6'!Область_печати</vt:lpstr>
      <vt:lpstr>'Пр 6а'!Область_печати</vt:lpstr>
      <vt:lpstr>'Пр 8'!Область_печати</vt:lpstr>
      <vt:lpstr>'Пр 8-1'!Область_печати</vt:lpstr>
      <vt:lpstr>'Пр 8-а'!Область_печати</vt:lpstr>
      <vt:lpstr>'Тал 14'!Область_печати</vt:lpstr>
      <vt:lpstr>'Тал 21'!Область_печати</vt:lpstr>
      <vt:lpstr>'Тал 21а'!Область_печати</vt:lpstr>
      <vt:lpstr>'Тал 23'!Область_печати</vt:lpstr>
      <vt:lpstr>'Тал 23а'!Область_печати</vt:lpstr>
      <vt:lpstr>'Тал 23б'!Область_печати</vt:lpstr>
      <vt:lpstr>'Тал 24-1'!Область_печати</vt:lpstr>
      <vt:lpstr>'Тал 26-1'!Область_печати</vt:lpstr>
      <vt:lpstr>'Тал 28-1'!Область_печати</vt:lpstr>
      <vt:lpstr>'Тал 4'!Область_печати</vt:lpstr>
      <vt:lpstr>'Тал 6'!Область_печати</vt:lpstr>
      <vt:lpstr>'Тал 7'!Область_печати</vt:lpstr>
      <vt:lpstr>Ухт.26!Область_печати</vt:lpstr>
      <vt:lpstr>'Центр 1-2'!Область_печати</vt:lpstr>
      <vt:lpstr>'Центр 18-1'!Область_печати</vt:lpstr>
      <vt:lpstr>'Центр 6-1'!Область_печати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econ</dc:creator>
  <cp:lastModifiedBy>Радик Хамзин</cp:lastModifiedBy>
  <cp:lastPrinted>2025-03-20T14:59:31Z</cp:lastPrinted>
  <dcterms:created xsi:type="dcterms:W3CDTF">2025-03-20T14:56:55Z</dcterms:created>
  <dcterms:modified xsi:type="dcterms:W3CDTF">2025-03-26T09:44:54Z</dcterms:modified>
</cp:coreProperties>
</file>