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Clone\KhamzinRadik\python\testEXLS\"/>
    </mc:Choice>
  </mc:AlternateContent>
  <xr:revisionPtr revIDLastSave="0" documentId="13_ncr:1_{64459C17-BDE4-4DCF-9D22-FBC6CA24AFE6}" xr6:coauthVersionLast="47" xr6:coauthVersionMax="47" xr10:uidLastSave="{00000000-0000-0000-0000-000000000000}"/>
  <bookViews>
    <workbookView xWindow="-105" yWindow="0" windowWidth="14610" windowHeight="15585" tabRatio="973" firstSheet="3" activeTab="3" xr2:uid="{00000000-000D-0000-FFFF-FFFF00000000}"/>
  </bookViews>
  <sheets>
    <sheet name="Лист11" sheetId="40" r:id="rId1"/>
    <sheet name="Даг 5" sheetId="28" r:id="rId2"/>
    <sheet name="М.Дж 6" sheetId="2" r:id="rId3"/>
    <sheet name="Центр 28" sheetId="1" r:id="rId4"/>
    <sheet name="Лев 3" sheetId="36" r:id="rId5"/>
    <sheet name="Лев 5" sheetId="27" r:id="rId6"/>
    <sheet name="Лев 8" sheetId="29" r:id="rId7"/>
    <sheet name="Лев 13" sheetId="26" r:id="rId8"/>
    <sheet name="Лев 17" sheetId="25" r:id="rId9"/>
    <sheet name="Лев 41" sheetId="31" r:id="rId10"/>
    <sheet name="Лок 2" sheetId="24" r:id="rId11"/>
    <sheet name="Лок 4" sheetId="23" r:id="rId12"/>
    <sheet name="Лок 6" sheetId="22" r:id="rId13"/>
    <sheet name="Лок 26" sheetId="21" r:id="rId14"/>
    <sheet name="Нов 8" sheetId="30" r:id="rId15"/>
    <sheet name="Пр 12" sheetId="19" r:id="rId16"/>
    <sheet name="Ряд 2" sheetId="18" r:id="rId17"/>
    <sheet name="Ряд 3-1" sheetId="17" r:id="rId18"/>
    <sheet name="Ряд 5-1" sheetId="16" r:id="rId19"/>
    <sheet name="Ряд 7-1" sheetId="15" r:id="rId20"/>
    <sheet name="Тал 2-1" sheetId="14" r:id="rId21"/>
    <sheet name="Тал 3-1" sheetId="13" r:id="rId22"/>
    <sheet name="Тал 3-а" sheetId="12" r:id="rId23"/>
    <sheet name="Ухт 5" sheetId="37" r:id="rId24"/>
    <sheet name="Цен 1" sheetId="38" r:id="rId25"/>
    <sheet name="Центр 2" sheetId="11" r:id="rId26"/>
    <sheet name="Цен 3" sheetId="39" r:id="rId27"/>
    <sheet name="Центр 4" sheetId="10" r:id="rId28"/>
    <sheet name="Центр 4-а" sheetId="9" r:id="rId29"/>
    <sheet name="Центр 8" sheetId="8" r:id="rId30"/>
    <sheet name="Центр 10" sheetId="7" r:id="rId31"/>
    <sheet name="Центр 12" sheetId="6" r:id="rId32"/>
    <sheet name="Центр 14" sheetId="5" r:id="rId33"/>
    <sheet name="Центр 22" sheetId="4" r:id="rId34"/>
    <sheet name="Центр 31-1" sheetId="35" r:id="rId35"/>
    <sheet name="Центр 42" sheetId="34" r:id="rId36"/>
    <sheet name="Центр 44" sheetId="33" r:id="rId37"/>
    <sheet name="Центр 51" sheetId="32" r:id="rId38"/>
  </sheets>
  <externalReferences>
    <externalReference r:id="rId39"/>
    <externalReference r:id="rId40"/>
    <externalReference r:id="rId41"/>
    <externalReference r:id="rId42"/>
  </externalReferences>
  <definedNames>
    <definedName name="_xlnm._FilterDatabase" localSheetId="1" hidden="1">'Даг 5'!$A$31:$G$89</definedName>
    <definedName name="_xlnm._FilterDatabase" localSheetId="7" hidden="1">'Лев 13'!$A$31:$G$89</definedName>
    <definedName name="_xlnm._FilterDatabase" localSheetId="8" hidden="1">'Лев 17'!$A$31:$G$89</definedName>
    <definedName name="_xlnm._FilterDatabase" localSheetId="4" hidden="1">'Лев 3'!$A$31:$G$89</definedName>
    <definedName name="_xlnm._FilterDatabase" localSheetId="9" hidden="1">'Лев 41'!$A$32:$B$80</definedName>
    <definedName name="_xlnm._FilterDatabase" localSheetId="5" hidden="1">'Лев 5'!$A$31:$G$89</definedName>
    <definedName name="_xlnm._FilterDatabase" localSheetId="6" hidden="1">'Лев 8'!$A$31:$G$89</definedName>
    <definedName name="_xlnm._FilterDatabase" localSheetId="0" hidden="1">Лист11!$K$2:$M$221</definedName>
    <definedName name="_xlnm._FilterDatabase" localSheetId="10" hidden="1">'Лок 2'!$A$31:$G$89</definedName>
    <definedName name="_xlnm._FilterDatabase" localSheetId="13" hidden="1">'Лок 26'!$A$31:$G$89</definedName>
    <definedName name="_xlnm._FilterDatabase" localSheetId="11" hidden="1">'Лок 4'!$A$31:$G$89</definedName>
    <definedName name="_xlnm._FilterDatabase" localSheetId="12" hidden="1">'Лок 6'!$A$31:$G$89</definedName>
    <definedName name="_xlnm._FilterDatabase" localSheetId="2" hidden="1">'М.Дж 6'!$A$31:$G$89</definedName>
    <definedName name="_xlnm._FilterDatabase" localSheetId="14" hidden="1">'Нов 8'!$A$32:$B$77</definedName>
    <definedName name="_xlnm._FilterDatabase" localSheetId="15" hidden="1">'Пр 12'!$A$32:$G$89</definedName>
    <definedName name="_xlnm._FilterDatabase" localSheetId="16" hidden="1">'Ряд 2'!$A$31:$G$89</definedName>
    <definedName name="_xlnm._FilterDatabase" localSheetId="17" hidden="1">'Ряд 3-1'!$A$31:$G$89</definedName>
    <definedName name="_xlnm._FilterDatabase" localSheetId="18" hidden="1">'Ряд 5-1'!$A$31:$G$89</definedName>
    <definedName name="_xlnm._FilterDatabase" localSheetId="19" hidden="1">'Ряд 7-1'!$A$31:$G$89</definedName>
    <definedName name="_xlnm._FilterDatabase" localSheetId="20" hidden="1">'Тал 2-1'!$A$31:$G$89</definedName>
    <definedName name="_xlnm._FilterDatabase" localSheetId="21" hidden="1">'Тал 3-1'!$A$31:$G$89</definedName>
    <definedName name="_xlnm._FilterDatabase" localSheetId="22" hidden="1">'Тал 3-а'!$A$31:$G$89</definedName>
    <definedName name="_xlnm._FilterDatabase" localSheetId="23" hidden="1">'Ухт 5'!$A$31:$G$89</definedName>
    <definedName name="_xlnm._FilterDatabase" localSheetId="24" hidden="1">'Цен 1'!$A$32:$B$89</definedName>
    <definedName name="_xlnm._FilterDatabase" localSheetId="26" hidden="1">'Цен 3'!$A$32:$B$89</definedName>
    <definedName name="_xlnm._FilterDatabase" localSheetId="30" hidden="1">'Центр 10'!$A$31:$G$89</definedName>
    <definedName name="_xlnm._FilterDatabase" localSheetId="31" hidden="1">'Центр 12'!$A$31:$G$89</definedName>
    <definedName name="_xlnm._FilterDatabase" localSheetId="32" hidden="1">'Центр 14'!$A$31:$G$89</definedName>
    <definedName name="_xlnm._FilterDatabase" localSheetId="25" hidden="1">'Центр 2'!$A$31:$G$89</definedName>
    <definedName name="_xlnm._FilterDatabase" localSheetId="33" hidden="1">'Центр 22'!$A$31:$G$89</definedName>
    <definedName name="_xlnm._FilterDatabase" localSheetId="3" hidden="1">'Центр 28'!$A$31:$G$89</definedName>
    <definedName name="_xlnm._FilterDatabase" localSheetId="34" hidden="1">'Центр 31-1'!$A$32:$B$75</definedName>
    <definedName name="_xlnm._FilterDatabase" localSheetId="27" hidden="1">'Центр 4'!$A$31:$G$89</definedName>
    <definedName name="_xlnm._FilterDatabase" localSheetId="35" hidden="1">'Центр 42'!$A$32:$B$71</definedName>
    <definedName name="_xlnm._FilterDatabase" localSheetId="36" hidden="1">'Центр 44'!$A$32:$B$75</definedName>
    <definedName name="_xlnm._FilterDatabase" localSheetId="28" hidden="1">'Центр 4-а'!$A$31:$G$89</definedName>
    <definedName name="_xlnm._FilterDatabase" localSheetId="37" hidden="1">'Центр 51'!$A$32:$B$71</definedName>
    <definedName name="_xlnm._FilterDatabase" localSheetId="29" hidden="1">'Центр 8'!$A$31:$G$89</definedName>
    <definedName name="_xlnm.Print_Area" localSheetId="1">'Даг 5'!$A$1:$B$94</definedName>
    <definedName name="_xlnm.Print_Area" localSheetId="7">'Лев 13'!$A$1:$B$94</definedName>
    <definedName name="_xlnm.Print_Area" localSheetId="8">'Лев 17'!$A$1:$B$94</definedName>
    <definedName name="_xlnm.Print_Area" localSheetId="4">'Лев 3'!$A$1:$B$94</definedName>
    <definedName name="_xlnm.Print_Area" localSheetId="9">'Лев 41'!$A$1:$B$85</definedName>
    <definedName name="_xlnm.Print_Area" localSheetId="5">'Лев 5'!$A$1:$B$94</definedName>
    <definedName name="_xlnm.Print_Area" localSheetId="6">'Лев 8'!$A$1:$B$94</definedName>
    <definedName name="_xlnm.Print_Area" localSheetId="10">'Лок 2'!$A$1:$B$94</definedName>
    <definedName name="_xlnm.Print_Area" localSheetId="13">'Лок 26'!$A$1:$B$94</definedName>
    <definedName name="_xlnm.Print_Area" localSheetId="11">'Лок 4'!$A$1:$B$94</definedName>
    <definedName name="_xlnm.Print_Area" localSheetId="12">'Лок 6'!$A$1:$B$94</definedName>
    <definedName name="_xlnm.Print_Area" localSheetId="2">'М.Дж 6'!$A$1:$B$94</definedName>
    <definedName name="_xlnm.Print_Area" localSheetId="14">'Нов 8'!$A$1:$B$82</definedName>
    <definedName name="_xlnm.Print_Area" localSheetId="15">'Пр 12'!$A$1:$B$94</definedName>
    <definedName name="_xlnm.Print_Area" localSheetId="16">'Ряд 2'!$A$1:$B$94</definedName>
    <definedName name="_xlnm.Print_Area" localSheetId="17">'Ряд 3-1'!$A$1:$B$94</definedName>
    <definedName name="_xlnm.Print_Area" localSheetId="18">'Ряд 5-1'!$A$1:$B$94</definedName>
    <definedName name="_xlnm.Print_Area" localSheetId="19">'Ряд 7-1'!$A$1:$B$94</definedName>
    <definedName name="_xlnm.Print_Area" localSheetId="20">'Тал 2-1'!$A$1:$B$94</definedName>
    <definedName name="_xlnm.Print_Area" localSheetId="21">'Тал 3-1'!$A$1:$B$94</definedName>
    <definedName name="_xlnm.Print_Area" localSheetId="22">'Тал 3-а'!$A$1:$B$94</definedName>
    <definedName name="_xlnm.Print_Area" localSheetId="23">'Ухт 5'!$A$1:$B$94</definedName>
    <definedName name="_xlnm.Print_Area" localSheetId="24">'Цен 1'!$A$1:$B$94</definedName>
    <definedName name="_xlnm.Print_Area" localSheetId="26">'Цен 3'!$A$1:$B$94</definedName>
    <definedName name="_xlnm.Print_Area" localSheetId="30">'Центр 10'!$A$1:$B$94</definedName>
    <definedName name="_xlnm.Print_Area" localSheetId="31">'Центр 12'!$A$1:$B$94</definedName>
    <definedName name="_xlnm.Print_Area" localSheetId="32">'Центр 14'!$A$1:$B$94</definedName>
    <definedName name="_xlnm.Print_Area" localSheetId="25">'Центр 2'!$A$1:$B$94</definedName>
    <definedName name="_xlnm.Print_Area" localSheetId="33">'Центр 22'!$A$1:$B$94</definedName>
    <definedName name="_xlnm.Print_Area" localSheetId="3">'Центр 28'!$A$1:$B$94</definedName>
    <definedName name="_xlnm.Print_Area" localSheetId="34">'Центр 31-1'!$A$1:$B$80</definedName>
    <definedName name="_xlnm.Print_Area" localSheetId="27">'Центр 4'!$A$1:$B$94</definedName>
    <definedName name="_xlnm.Print_Area" localSheetId="35">'Центр 42'!$A$1:$B$76</definedName>
    <definedName name="_xlnm.Print_Area" localSheetId="36">'Центр 44'!$A$1:$B$80</definedName>
    <definedName name="_xlnm.Print_Area" localSheetId="28">'Центр 4-а'!$A$1:$B$94</definedName>
    <definedName name="_xlnm.Print_Area" localSheetId="37">'Центр 51'!$A$1:$B$76</definedName>
    <definedName name="_xlnm.Print_Area" localSheetId="29">'Центр 8'!$A$1:$B$94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32" l="1"/>
  <c r="B58" i="32"/>
  <c r="B59" i="32"/>
  <c r="B45" i="32"/>
  <c r="B57" i="32"/>
  <c r="B56" i="32"/>
  <c r="B62" i="33"/>
  <c r="B60" i="33"/>
  <c r="B56" i="33"/>
  <c r="B48" i="33"/>
  <c r="B45" i="33"/>
  <c r="B63" i="34"/>
  <c r="B58" i="34"/>
  <c r="B57" i="34" s="1"/>
  <c r="B56" i="34"/>
  <c r="B55" i="34"/>
  <c r="B52" i="34"/>
  <c r="B48" i="34"/>
  <c r="B45" i="34"/>
  <c r="B62" i="35"/>
  <c r="B60" i="35"/>
  <c r="B59" i="35"/>
  <c r="B56" i="35"/>
  <c r="B48" i="35"/>
  <c r="B45" i="35"/>
  <c r="B81" i="4"/>
  <c r="B76" i="4"/>
  <c r="B68" i="4"/>
  <c r="B48" i="4"/>
  <c r="B81" i="5"/>
  <c r="B76" i="5"/>
  <c r="B68" i="5"/>
  <c r="B48" i="5"/>
  <c r="B76" i="6"/>
  <c r="B68" i="6"/>
  <c r="C48" i="6"/>
  <c r="B48" i="6"/>
  <c r="B81" i="7"/>
  <c r="B76" i="7"/>
  <c r="B75" i="7" s="1"/>
  <c r="B68" i="7"/>
  <c r="B48" i="7"/>
  <c r="B81" i="8"/>
  <c r="B76" i="8"/>
  <c r="B68" i="8"/>
  <c r="B48" i="8"/>
  <c r="B81" i="9"/>
  <c r="B76" i="9"/>
  <c r="B68" i="9"/>
  <c r="B48" i="9"/>
  <c r="B76" i="10"/>
  <c r="B68" i="10"/>
  <c r="B81" i="10"/>
  <c r="B48" i="10"/>
  <c r="B76" i="39"/>
  <c r="B68" i="39"/>
  <c r="B45" i="39"/>
  <c r="B81" i="11"/>
  <c r="B76" i="11"/>
  <c r="B68" i="11"/>
  <c r="B48" i="11"/>
  <c r="B76" i="38"/>
  <c r="B45" i="38"/>
  <c r="B81" i="37"/>
  <c r="B76" i="37"/>
  <c r="B68" i="37"/>
  <c r="B48" i="37"/>
  <c r="B81" i="12"/>
  <c r="B76" i="12"/>
  <c r="B68" i="12"/>
  <c r="B48" i="12"/>
  <c r="B68" i="14"/>
  <c r="B76" i="14"/>
  <c r="B48" i="14"/>
  <c r="B81" i="14" l="1"/>
  <c r="B81" i="15" l="1"/>
  <c r="B76" i="15"/>
  <c r="B68" i="15"/>
  <c r="B48" i="15"/>
  <c r="B76" i="17"/>
  <c r="B68" i="17"/>
  <c r="B48" i="17"/>
  <c r="B76" i="16"/>
  <c r="B68" i="16"/>
  <c r="B48" i="16"/>
  <c r="B81" i="18"/>
  <c r="B76" i="18"/>
  <c r="B68" i="18"/>
  <c r="B63" i="18"/>
  <c r="B56" i="18"/>
  <c r="B68" i="19"/>
  <c r="B48" i="19"/>
  <c r="B81" i="19" l="1"/>
  <c r="B76" i="19"/>
  <c r="B64" i="30"/>
  <c r="B62" i="30"/>
  <c r="B61" i="30"/>
  <c r="B58" i="30"/>
  <c r="B45" i="30"/>
  <c r="B33" i="30"/>
  <c r="B76" i="21"/>
  <c r="B68" i="21"/>
  <c r="B76" i="22"/>
  <c r="B68" i="22"/>
  <c r="B76" i="23"/>
  <c r="B68" i="23"/>
  <c r="B76" i="24"/>
  <c r="B68" i="24"/>
  <c r="B64" i="31"/>
  <c r="B61" i="31"/>
  <c r="B45" i="31"/>
  <c r="B67" i="31"/>
  <c r="B65" i="31"/>
  <c r="B81" i="25"/>
  <c r="B76" i="25"/>
  <c r="B68" i="25"/>
  <c r="B33" i="25"/>
  <c r="B48" i="25"/>
  <c r="B58" i="25"/>
  <c r="B57" i="25"/>
  <c r="B50" i="26"/>
  <c r="B49" i="26"/>
  <c r="B76" i="26"/>
  <c r="B68" i="26"/>
  <c r="B48" i="26"/>
  <c r="B81" i="26"/>
  <c r="B76" i="29"/>
  <c r="B68" i="29"/>
  <c r="B48" i="29"/>
  <c r="B51" i="29"/>
  <c r="B50" i="29"/>
  <c r="B57" i="27" l="1"/>
  <c r="B56" i="27"/>
  <c r="B81" i="27"/>
  <c r="B76" i="27"/>
  <c r="B68" i="27"/>
  <c r="B81" i="36" l="1"/>
  <c r="B76" i="36"/>
  <c r="B68" i="36"/>
  <c r="B48" i="36"/>
  <c r="B27" i="29" l="1"/>
  <c r="B26" i="29"/>
  <c r="B79" i="29" s="1"/>
  <c r="B25" i="27" l="1"/>
  <c r="B25" i="29"/>
  <c r="B25" i="26"/>
  <c r="B25" i="25"/>
  <c r="B25" i="31"/>
  <c r="B25" i="24"/>
  <c r="B25" i="23"/>
  <c r="B25" i="22"/>
  <c r="B25" i="21"/>
  <c r="B25" i="30"/>
  <c r="B25" i="19"/>
  <c r="B25" i="18"/>
  <c r="B25" i="17"/>
  <c r="B25" i="16"/>
  <c r="B25" i="15"/>
  <c r="B25" i="14"/>
  <c r="B25" i="13"/>
  <c r="B25" i="12"/>
  <c r="B25" i="37"/>
  <c r="B25" i="38"/>
  <c r="B25" i="11"/>
  <c r="B25" i="39"/>
  <c r="B25" i="10"/>
  <c r="B25" i="9"/>
  <c r="B25" i="8"/>
  <c r="B25" i="7"/>
  <c r="B25" i="6"/>
  <c r="B25" i="5"/>
  <c r="B25" i="4"/>
  <c r="B25" i="35"/>
  <c r="B25" i="34"/>
  <c r="B25" i="33"/>
  <c r="B67" i="33" s="1"/>
  <c r="B25" i="32"/>
  <c r="B63" i="32" s="1"/>
  <c r="B60" i="32" s="1"/>
  <c r="B25" i="36"/>
  <c r="B24" i="27"/>
  <c r="B24" i="29"/>
  <c r="B24" i="26"/>
  <c r="B24" i="25"/>
  <c r="B24" i="31"/>
  <c r="B24" i="24"/>
  <c r="B24" i="23"/>
  <c r="B24" i="22"/>
  <c r="B24" i="21"/>
  <c r="B24" i="30"/>
  <c r="B24" i="19"/>
  <c r="B24" i="18"/>
  <c r="B24" i="17"/>
  <c r="B24" i="16"/>
  <c r="B24" i="15"/>
  <c r="B24" i="14"/>
  <c r="B24" i="13"/>
  <c r="B24" i="12"/>
  <c r="B24" i="37"/>
  <c r="B24" i="38"/>
  <c r="B24" i="11"/>
  <c r="B24" i="39"/>
  <c r="B24" i="10"/>
  <c r="B24" i="9"/>
  <c r="B24" i="8"/>
  <c r="B24" i="7"/>
  <c r="B24" i="6"/>
  <c r="B24" i="5"/>
  <c r="B24" i="4"/>
  <c r="B24" i="35"/>
  <c r="B24" i="34"/>
  <c r="B24" i="33"/>
  <c r="B24" i="32"/>
  <c r="B24" i="36"/>
  <c r="B79" i="39" l="1"/>
  <c r="B77" i="39"/>
  <c r="B75" i="39"/>
  <c r="B59" i="39"/>
  <c r="D57" i="39"/>
  <c r="D56" i="39"/>
  <c r="B52" i="39"/>
  <c r="B46" i="39" s="1"/>
  <c r="B42" i="39"/>
  <c r="G32" i="39"/>
  <c r="F32" i="39"/>
  <c r="B32" i="39"/>
  <c r="B27" i="39"/>
  <c r="B15" i="39"/>
  <c r="B79" i="38"/>
  <c r="B77" i="38" s="1"/>
  <c r="B75" i="38"/>
  <c r="B59" i="38"/>
  <c r="D57" i="38"/>
  <c r="D56" i="38"/>
  <c r="B52" i="38"/>
  <c r="B42" i="38"/>
  <c r="G32" i="38"/>
  <c r="F32" i="38"/>
  <c r="B32" i="38"/>
  <c r="B27" i="38"/>
  <c r="B15" i="38"/>
  <c r="B79" i="37"/>
  <c r="B77" i="37"/>
  <c r="B75" i="37"/>
  <c r="B59" i="37"/>
  <c r="D57" i="37"/>
  <c r="D56" i="37"/>
  <c r="B52" i="37"/>
  <c r="B46" i="37" s="1"/>
  <c r="G32" i="37"/>
  <c r="F32" i="37"/>
  <c r="B32" i="37"/>
  <c r="B16" i="37"/>
  <c r="B15" i="37"/>
  <c r="B15" i="36"/>
  <c r="B16" i="36"/>
  <c r="G26" i="36"/>
  <c r="B32" i="36"/>
  <c r="F32" i="36"/>
  <c r="G32" i="36"/>
  <c r="B45" i="36"/>
  <c r="B42" i="36" s="1"/>
  <c r="B52" i="36"/>
  <c r="D56" i="36"/>
  <c r="D57" i="36"/>
  <c r="B59" i="36"/>
  <c r="D65" i="36"/>
  <c r="B75" i="36"/>
  <c r="B79" i="36"/>
  <c r="B65" i="35"/>
  <c r="B63" i="35" s="1"/>
  <c r="B61" i="35"/>
  <c r="B46" i="35"/>
  <c r="B42" i="35"/>
  <c r="G32" i="35"/>
  <c r="F32" i="35"/>
  <c r="B32" i="35"/>
  <c r="B27" i="35"/>
  <c r="B16" i="35"/>
  <c r="B15" i="35"/>
  <c r="B61" i="34"/>
  <c r="B59" i="34" s="1"/>
  <c r="B46" i="34"/>
  <c r="B42" i="34"/>
  <c r="G32" i="34"/>
  <c r="F32" i="34"/>
  <c r="B32" i="34"/>
  <c r="B27" i="34"/>
  <c r="B16" i="34"/>
  <c r="B15" i="34"/>
  <c r="B65" i="33"/>
  <c r="B63" i="33" s="1"/>
  <c r="B61" i="33"/>
  <c r="B46" i="33"/>
  <c r="B42" i="33"/>
  <c r="G32" i="33"/>
  <c r="F32" i="33"/>
  <c r="B32" i="33"/>
  <c r="B27" i="33"/>
  <c r="B16" i="33"/>
  <c r="C56" i="33" s="1"/>
  <c r="B15" i="33"/>
  <c r="B46" i="32"/>
  <c r="G32" i="32"/>
  <c r="F32" i="32"/>
  <c r="B32" i="32"/>
  <c r="B27" i="32"/>
  <c r="B16" i="32"/>
  <c r="C51" i="32" s="1"/>
  <c r="B15" i="32"/>
  <c r="B70" i="31"/>
  <c r="B68" i="31" s="1"/>
  <c r="B66" i="31"/>
  <c r="D50" i="31"/>
  <c r="D49" i="31"/>
  <c r="B46" i="31"/>
  <c r="B42" i="31"/>
  <c r="G32" i="31"/>
  <c r="F32" i="31"/>
  <c r="B32" i="31"/>
  <c r="B27" i="31"/>
  <c r="B16" i="31"/>
  <c r="B15" i="31"/>
  <c r="B67" i="30"/>
  <c r="B65" i="30" s="1"/>
  <c r="B63" i="30"/>
  <c r="D47" i="30"/>
  <c r="B46" i="30"/>
  <c r="B42" i="30"/>
  <c r="G32" i="30"/>
  <c r="F32" i="30"/>
  <c r="B32" i="30"/>
  <c r="B27" i="30"/>
  <c r="B16" i="30"/>
  <c r="B15" i="30"/>
  <c r="B55" i="32" l="1"/>
  <c r="B54" i="32"/>
  <c r="B49" i="32" s="1"/>
  <c r="B54" i="34"/>
  <c r="B53" i="34"/>
  <c r="B72" i="38"/>
  <c r="B73" i="38"/>
  <c r="B74" i="38"/>
  <c r="B71" i="38"/>
  <c r="B74" i="39"/>
  <c r="B72" i="39"/>
  <c r="B73" i="39"/>
  <c r="B62" i="31"/>
  <c r="B63" i="31"/>
  <c r="B57" i="35"/>
  <c r="B58" i="35"/>
  <c r="B46" i="38"/>
  <c r="B74" i="36"/>
  <c r="B73" i="36"/>
  <c r="B71" i="36"/>
  <c r="B72" i="36"/>
  <c r="B66" i="36" s="1"/>
  <c r="B60" i="30"/>
  <c r="B59" i="30"/>
  <c r="B56" i="30" s="1"/>
  <c r="B70" i="30" s="1"/>
  <c r="B71" i="30" s="1"/>
  <c r="B72" i="30" s="1"/>
  <c r="B45" i="37"/>
  <c r="B74" i="37"/>
  <c r="B73" i="37"/>
  <c r="B72" i="37"/>
  <c r="B71" i="37"/>
  <c r="B58" i="33"/>
  <c r="B59" i="33"/>
  <c r="B64" i="32"/>
  <c r="B65" i="32" s="1"/>
  <c r="B66" i="32" s="1"/>
  <c r="B71" i="39"/>
  <c r="B77" i="36"/>
  <c r="B46" i="36"/>
  <c r="B42" i="37"/>
  <c r="B77" i="29"/>
  <c r="B75" i="29"/>
  <c r="D57" i="29"/>
  <c r="D56" i="29"/>
  <c r="B52" i="29"/>
  <c r="G32" i="29"/>
  <c r="F32" i="29"/>
  <c r="B32" i="29"/>
  <c r="B16" i="29"/>
  <c r="B15" i="29"/>
  <c r="B54" i="35" l="1"/>
  <c r="B68" i="35" s="1"/>
  <c r="B69" i="35" s="1"/>
  <c r="B70" i="35" s="1"/>
  <c r="B59" i="31"/>
  <c r="B73" i="31" s="1"/>
  <c r="B74" i="31" s="1"/>
  <c r="B75" i="31" s="1"/>
  <c r="B51" i="34"/>
  <c r="B64" i="34" s="1"/>
  <c r="B65" i="34" s="1"/>
  <c r="B66" i="34" s="1"/>
  <c r="B55" i="33"/>
  <c r="B68" i="33" s="1"/>
  <c r="B69" i="33" s="1"/>
  <c r="B70" i="33" s="1"/>
  <c r="B71" i="33" s="1"/>
  <c r="B72" i="33" s="1"/>
  <c r="B45" i="29"/>
  <c r="B72" i="29"/>
  <c r="B71" i="29"/>
  <c r="B74" i="29"/>
  <c r="B73" i="29"/>
  <c r="B66" i="37"/>
  <c r="B82" i="37" s="1"/>
  <c r="B83" i="37" s="1"/>
  <c r="B84" i="37" s="1"/>
  <c r="B82" i="36"/>
  <c r="B83" i="36" s="1"/>
  <c r="B84" i="36" s="1"/>
  <c r="B66" i="39"/>
  <c r="B82" i="39" s="1"/>
  <c r="B66" i="38"/>
  <c r="B82" i="38" s="1"/>
  <c r="B46" i="29"/>
  <c r="B67" i="34"/>
  <c r="B68" i="34" s="1"/>
  <c r="B71" i="35"/>
  <c r="B72" i="35" s="1"/>
  <c r="B67" i="32"/>
  <c r="B68" i="32" s="1"/>
  <c r="B76" i="31"/>
  <c r="B77" i="31" s="1"/>
  <c r="B73" i="30"/>
  <c r="B74" i="30" s="1"/>
  <c r="B42" i="29"/>
  <c r="B81" i="28"/>
  <c r="B76" i="28"/>
  <c r="B68" i="28"/>
  <c r="B48" i="28"/>
  <c r="B56" i="28"/>
  <c r="B57" i="28"/>
  <c r="B83" i="38" l="1"/>
  <c r="B84" i="38" s="1"/>
  <c r="B83" i="39"/>
  <c r="B84" i="39" s="1"/>
  <c r="B85" i="37"/>
  <c r="B86" i="37" s="1"/>
  <c r="E32" i="37"/>
  <c r="B85" i="36"/>
  <c r="B86" i="36" s="1"/>
  <c r="B69" i="34"/>
  <c r="E32" i="34"/>
  <c r="E32" i="32"/>
  <c r="B69" i="32"/>
  <c r="E32" i="33"/>
  <c r="B73" i="33"/>
  <c r="E32" i="35"/>
  <c r="B73" i="35"/>
  <c r="B75" i="30"/>
  <c r="E32" i="30"/>
  <c r="E32" i="31"/>
  <c r="B78" i="31"/>
  <c r="B66" i="29"/>
  <c r="B82" i="29" s="1"/>
  <c r="B79" i="28"/>
  <c r="B77" i="28"/>
  <c r="B75" i="28"/>
  <c r="B59" i="28"/>
  <c r="B46" i="28" s="1"/>
  <c r="G47" i="28" s="1"/>
  <c r="D57" i="28"/>
  <c r="D56" i="28"/>
  <c r="G32" i="28"/>
  <c r="F32" i="28"/>
  <c r="B32" i="28"/>
  <c r="B16" i="28"/>
  <c r="B15" i="28"/>
  <c r="B79" i="27"/>
  <c r="B75" i="27"/>
  <c r="D65" i="27"/>
  <c r="B59" i="27"/>
  <c r="D57" i="27"/>
  <c r="D56" i="27"/>
  <c r="B52" i="27"/>
  <c r="B48" i="27"/>
  <c r="G32" i="27"/>
  <c r="F32" i="27"/>
  <c r="B32" i="27"/>
  <c r="B16" i="27"/>
  <c r="B15" i="27"/>
  <c r="B79" i="26"/>
  <c r="B75" i="26"/>
  <c r="B59" i="26"/>
  <c r="D57" i="26"/>
  <c r="D56" i="26"/>
  <c r="B46" i="26"/>
  <c r="G32" i="26"/>
  <c r="F32" i="26"/>
  <c r="B32" i="26"/>
  <c r="B16" i="26"/>
  <c r="B15" i="26"/>
  <c r="B79" i="25"/>
  <c r="B75" i="25"/>
  <c r="D57" i="25"/>
  <c r="D56" i="25"/>
  <c r="B52" i="25"/>
  <c r="B46" i="25" s="1"/>
  <c r="B32" i="25"/>
  <c r="G32" i="25"/>
  <c r="F32" i="25"/>
  <c r="B16" i="25"/>
  <c r="B15" i="25"/>
  <c r="B81" i="24"/>
  <c r="B79" i="24"/>
  <c r="B75" i="24"/>
  <c r="B59" i="24"/>
  <c r="D57" i="24"/>
  <c r="D56" i="24"/>
  <c r="B52" i="24"/>
  <c r="G32" i="24"/>
  <c r="F32" i="24"/>
  <c r="B32" i="24"/>
  <c r="B27" i="24"/>
  <c r="B16" i="24"/>
  <c r="B15" i="24"/>
  <c r="B81" i="23"/>
  <c r="B79" i="23"/>
  <c r="B77" i="23"/>
  <c r="B75" i="23"/>
  <c r="B59" i="23"/>
  <c r="D57" i="23"/>
  <c r="D56" i="23"/>
  <c r="B52" i="23"/>
  <c r="G32" i="23"/>
  <c r="F32" i="23"/>
  <c r="B32" i="23"/>
  <c r="B27" i="23"/>
  <c r="B16" i="23"/>
  <c r="B15" i="23"/>
  <c r="B81" i="22"/>
  <c r="B79" i="22"/>
  <c r="B75" i="22"/>
  <c r="B59" i="22"/>
  <c r="D57" i="22"/>
  <c r="D56" i="22"/>
  <c r="B52" i="22"/>
  <c r="G32" i="22"/>
  <c r="F32" i="22"/>
  <c r="B32" i="22"/>
  <c r="B27" i="22"/>
  <c r="B16" i="22"/>
  <c r="B15" i="22"/>
  <c r="B81" i="21"/>
  <c r="B77" i="21" s="1"/>
  <c r="B79" i="21"/>
  <c r="B75" i="21"/>
  <c r="B59" i="21"/>
  <c r="D57" i="21"/>
  <c r="D56" i="21"/>
  <c r="B52" i="21"/>
  <c r="G32" i="21"/>
  <c r="F32" i="21"/>
  <c r="B32" i="21"/>
  <c r="B27" i="21"/>
  <c r="B16" i="21"/>
  <c r="B15" i="21"/>
  <c r="B79" i="19"/>
  <c r="B75" i="19"/>
  <c r="D65" i="19"/>
  <c r="B59" i="19"/>
  <c r="D57" i="19"/>
  <c r="D56" i="19"/>
  <c r="B52" i="19"/>
  <c r="B42" i="19"/>
  <c r="G32" i="19"/>
  <c r="F32" i="19"/>
  <c r="B32" i="19"/>
  <c r="B16" i="19"/>
  <c r="B15" i="19"/>
  <c r="B79" i="18"/>
  <c r="B75" i="18"/>
  <c r="B59" i="18"/>
  <c r="D57" i="18"/>
  <c r="B46" i="18"/>
  <c r="B32" i="18"/>
  <c r="G32" i="18"/>
  <c r="F32" i="18"/>
  <c r="B27" i="18"/>
  <c r="B16" i="18"/>
  <c r="B15" i="18"/>
  <c r="B81" i="17"/>
  <c r="B79" i="17"/>
  <c r="B77" i="17" s="1"/>
  <c r="B75" i="17"/>
  <c r="B59" i="17"/>
  <c r="D57" i="17"/>
  <c r="D56" i="17"/>
  <c r="B52" i="17"/>
  <c r="G32" i="17"/>
  <c r="F32" i="17"/>
  <c r="B32" i="17"/>
  <c r="B27" i="17"/>
  <c r="B16" i="17"/>
  <c r="B15" i="17"/>
  <c r="B81" i="16"/>
  <c r="B79" i="16"/>
  <c r="B77" i="16" s="1"/>
  <c r="B75" i="16"/>
  <c r="B59" i="16"/>
  <c r="D57" i="16"/>
  <c r="D56" i="16"/>
  <c r="B52" i="16"/>
  <c r="G32" i="16"/>
  <c r="F32" i="16"/>
  <c r="B32" i="16"/>
  <c r="B27" i="16"/>
  <c r="B16" i="16"/>
  <c r="B15" i="16"/>
  <c r="B79" i="15"/>
  <c r="B77" i="15"/>
  <c r="B75" i="15"/>
  <c r="B59" i="15"/>
  <c r="D57" i="15"/>
  <c r="D56" i="15"/>
  <c r="B52" i="15"/>
  <c r="G32" i="15"/>
  <c r="F32" i="15"/>
  <c r="B32" i="15"/>
  <c r="B27" i="15"/>
  <c r="B16" i="15"/>
  <c r="B15" i="15"/>
  <c r="B79" i="14"/>
  <c r="B77" i="14"/>
  <c r="B75" i="14"/>
  <c r="B59" i="14"/>
  <c r="D57" i="14"/>
  <c r="D56" i="14"/>
  <c r="B52" i="14"/>
  <c r="G32" i="14"/>
  <c r="F32" i="14"/>
  <c r="B32" i="14"/>
  <c r="B27" i="14"/>
  <c r="B16" i="14"/>
  <c r="B15" i="14"/>
  <c r="B81" i="13"/>
  <c r="B79" i="13"/>
  <c r="B77" i="13"/>
  <c r="B76" i="13"/>
  <c r="B75" i="13" s="1"/>
  <c r="B73" i="13"/>
  <c r="B71" i="13"/>
  <c r="B68" i="13"/>
  <c r="B59" i="13"/>
  <c r="D57" i="13"/>
  <c r="D56" i="13"/>
  <c r="B52" i="13"/>
  <c r="B48" i="13"/>
  <c r="G32" i="13"/>
  <c r="F32" i="13"/>
  <c r="B32" i="13"/>
  <c r="B27" i="13"/>
  <c r="B16" i="13"/>
  <c r="B15" i="13"/>
  <c r="B74" i="13" s="1"/>
  <c r="B79" i="12"/>
  <c r="B77" i="12" s="1"/>
  <c r="B75" i="12"/>
  <c r="B59" i="12"/>
  <c r="D57" i="12"/>
  <c r="D56" i="12"/>
  <c r="B52" i="12"/>
  <c r="G32" i="12"/>
  <c r="F32" i="12"/>
  <c r="B32" i="12"/>
  <c r="B27" i="12"/>
  <c r="B16" i="12"/>
  <c r="B15" i="12"/>
  <c r="B79" i="11"/>
  <c r="B77" i="11"/>
  <c r="B75" i="11"/>
  <c r="D57" i="11"/>
  <c r="D56" i="11"/>
  <c r="B52" i="11"/>
  <c r="G32" i="11"/>
  <c r="F32" i="11"/>
  <c r="B32" i="11"/>
  <c r="B27" i="11"/>
  <c r="B16" i="11"/>
  <c r="C68" i="11" s="1"/>
  <c r="B15" i="11"/>
  <c r="B79" i="10"/>
  <c r="B75" i="10"/>
  <c r="B59" i="10"/>
  <c r="D57" i="10"/>
  <c r="D56" i="10"/>
  <c r="B52" i="10"/>
  <c r="G32" i="10"/>
  <c r="F32" i="10"/>
  <c r="B32" i="10"/>
  <c r="B27" i="10"/>
  <c r="B16" i="10"/>
  <c r="B15" i="10"/>
  <c r="B79" i="9"/>
  <c r="B75" i="9"/>
  <c r="B59" i="9"/>
  <c r="D57" i="9"/>
  <c r="D56" i="9"/>
  <c r="B52" i="9"/>
  <c r="G32" i="9"/>
  <c r="F32" i="9"/>
  <c r="B32" i="9"/>
  <c r="B27" i="9"/>
  <c r="B16" i="9"/>
  <c r="B15" i="9"/>
  <c r="B79" i="8"/>
  <c r="B75" i="8"/>
  <c r="D65" i="8"/>
  <c r="B59" i="8"/>
  <c r="D57" i="8"/>
  <c r="D56" i="8"/>
  <c r="B52" i="8"/>
  <c r="G32" i="8"/>
  <c r="F32" i="8"/>
  <c r="B32" i="8"/>
  <c r="B16" i="8"/>
  <c r="B15" i="8"/>
  <c r="B79" i="7"/>
  <c r="B59" i="7"/>
  <c r="D57" i="7"/>
  <c r="D56" i="7"/>
  <c r="B52" i="7"/>
  <c r="G32" i="7"/>
  <c r="F32" i="7"/>
  <c r="B32" i="7"/>
  <c r="B16" i="7"/>
  <c r="B15" i="7"/>
  <c r="B81" i="6"/>
  <c r="B79" i="6"/>
  <c r="B75" i="6"/>
  <c r="B59" i="6"/>
  <c r="D57" i="6"/>
  <c r="D56" i="6"/>
  <c r="B52" i="6"/>
  <c r="G32" i="6"/>
  <c r="F32" i="6"/>
  <c r="B32" i="6"/>
  <c r="B27" i="6"/>
  <c r="B16" i="6"/>
  <c r="B15" i="6"/>
  <c r="B79" i="5"/>
  <c r="B77" i="5"/>
  <c r="B75" i="5"/>
  <c r="B59" i="5"/>
  <c r="D57" i="5"/>
  <c r="D56" i="5"/>
  <c r="B52" i="5"/>
  <c r="G32" i="5"/>
  <c r="F32" i="5"/>
  <c r="B32" i="5"/>
  <c r="B16" i="5"/>
  <c r="B15" i="5"/>
  <c r="B79" i="4"/>
  <c r="B75" i="4"/>
  <c r="B59" i="4"/>
  <c r="D57" i="4"/>
  <c r="D56" i="4"/>
  <c r="B52" i="4"/>
  <c r="G32" i="4"/>
  <c r="F32" i="4"/>
  <c r="B32" i="4"/>
  <c r="B27" i="4"/>
  <c r="B16" i="4"/>
  <c r="B15" i="4"/>
  <c r="B74" i="10" l="1"/>
  <c r="B73" i="10"/>
  <c r="B72" i="10"/>
  <c r="B71" i="10"/>
  <c r="B45" i="10"/>
  <c r="B71" i="23"/>
  <c r="B73" i="23"/>
  <c r="B72" i="23"/>
  <c r="B45" i="23"/>
  <c r="B42" i="23" s="1"/>
  <c r="B74" i="23"/>
  <c r="B73" i="5"/>
  <c r="B72" i="5"/>
  <c r="B45" i="5"/>
  <c r="B74" i="5"/>
  <c r="B71" i="5"/>
  <c r="B71" i="9"/>
  <c r="B66" i="9" s="1"/>
  <c r="B45" i="9"/>
  <c r="B74" i="9"/>
  <c r="B73" i="9"/>
  <c r="B72" i="9"/>
  <c r="B74" i="27"/>
  <c r="B73" i="27"/>
  <c r="B72" i="27"/>
  <c r="B45" i="27"/>
  <c r="B42" i="27" s="1"/>
  <c r="B71" i="27"/>
  <c r="B74" i="28"/>
  <c r="B73" i="28"/>
  <c r="B72" i="28"/>
  <c r="B71" i="28"/>
  <c r="B45" i="28"/>
  <c r="B42" i="28" s="1"/>
  <c r="B74" i="4"/>
  <c r="B73" i="4"/>
  <c r="B66" i="4" s="1"/>
  <c r="B72" i="4"/>
  <c r="B71" i="4"/>
  <c r="B45" i="4"/>
  <c r="B42" i="4" s="1"/>
  <c r="B73" i="21"/>
  <c r="B72" i="21"/>
  <c r="B71" i="21"/>
  <c r="B74" i="21"/>
  <c r="B45" i="21"/>
  <c r="B42" i="21" s="1"/>
  <c r="B71" i="18"/>
  <c r="B66" i="18" s="1"/>
  <c r="B82" i="18" s="1"/>
  <c r="B45" i="18"/>
  <c r="B42" i="18" s="1"/>
  <c r="B74" i="18"/>
  <c r="B73" i="18"/>
  <c r="B72" i="18"/>
  <c r="B74" i="6"/>
  <c r="B73" i="6"/>
  <c r="B72" i="6"/>
  <c r="B66" i="6" s="1"/>
  <c r="B71" i="6"/>
  <c r="B45" i="6"/>
  <c r="B42" i="6" s="1"/>
  <c r="B71" i="24"/>
  <c r="B45" i="24"/>
  <c r="B74" i="24"/>
  <c r="B66" i="24" s="1"/>
  <c r="B73" i="24"/>
  <c r="B72" i="24"/>
  <c r="B45" i="15"/>
  <c r="B71" i="15"/>
  <c r="B74" i="15"/>
  <c r="B72" i="15"/>
  <c r="B73" i="15"/>
  <c r="B71" i="12"/>
  <c r="B66" i="12" s="1"/>
  <c r="B82" i="12" s="1"/>
  <c r="B45" i="12"/>
  <c r="B42" i="12" s="1"/>
  <c r="B72" i="12"/>
  <c r="B74" i="12"/>
  <c r="B73" i="12"/>
  <c r="B73" i="16"/>
  <c r="B71" i="16"/>
  <c r="B74" i="16"/>
  <c r="B72" i="16"/>
  <c r="B45" i="16"/>
  <c r="B45" i="26"/>
  <c r="B74" i="26"/>
  <c r="B71" i="26"/>
  <c r="B73" i="26"/>
  <c r="B72" i="26"/>
  <c r="B74" i="19"/>
  <c r="B73" i="19"/>
  <c r="B72" i="19"/>
  <c r="B71" i="19"/>
  <c r="B72" i="25"/>
  <c r="B45" i="25"/>
  <c r="B74" i="25"/>
  <c r="B73" i="25"/>
  <c r="B71" i="25"/>
  <c r="B74" i="8"/>
  <c r="B73" i="8"/>
  <c r="B72" i="8"/>
  <c r="B71" i="8"/>
  <c r="B45" i="8"/>
  <c r="B45" i="17"/>
  <c r="B74" i="17"/>
  <c r="B73" i="17"/>
  <c r="B72" i="17"/>
  <c r="B71" i="17"/>
  <c r="B66" i="17" s="1"/>
  <c r="B74" i="22"/>
  <c r="B72" i="22"/>
  <c r="B66" i="22" s="1"/>
  <c r="B45" i="22"/>
  <c r="B71" i="22"/>
  <c r="B73" i="22"/>
  <c r="B45" i="11"/>
  <c r="B74" i="11"/>
  <c r="B73" i="11"/>
  <c r="B72" i="11"/>
  <c r="B71" i="11"/>
  <c r="B74" i="14"/>
  <c r="B73" i="14"/>
  <c r="B72" i="14"/>
  <c r="B71" i="14"/>
  <c r="B66" i="14" s="1"/>
  <c r="B45" i="14"/>
  <c r="B42" i="14" s="1"/>
  <c r="B73" i="7"/>
  <c r="B71" i="7"/>
  <c r="B74" i="7"/>
  <c r="B72" i="7"/>
  <c r="B45" i="7"/>
  <c r="B46" i="8"/>
  <c r="B77" i="19"/>
  <c r="B85" i="39"/>
  <c r="B86" i="39" s="1"/>
  <c r="B85" i="38"/>
  <c r="B86" i="38" s="1"/>
  <c r="B46" i="5"/>
  <c r="B77" i="6"/>
  <c r="B77" i="7"/>
  <c r="B46" i="9"/>
  <c r="B46" i="27"/>
  <c r="B87" i="37"/>
  <c r="E32" i="36"/>
  <c r="B87" i="36"/>
  <c r="B83" i="29"/>
  <c r="B84" i="29" s="1"/>
  <c r="B46" i="14"/>
  <c r="B46" i="16"/>
  <c r="B46" i="24"/>
  <c r="B77" i="4"/>
  <c r="B46" i="10"/>
  <c r="B77" i="10"/>
  <c r="B46" i="12"/>
  <c r="B46" i="13"/>
  <c r="B46" i="15"/>
  <c r="B46" i="17"/>
  <c r="B77" i="18"/>
  <c r="B46" i="22"/>
  <c r="B77" i="22"/>
  <c r="B46" i="23"/>
  <c r="B77" i="25"/>
  <c r="B77" i="26"/>
  <c r="B77" i="27"/>
  <c r="B46" i="4"/>
  <c r="B46" i="6"/>
  <c r="B46" i="7"/>
  <c r="B77" i="8"/>
  <c r="B77" i="9"/>
  <c r="B46" i="11"/>
  <c r="B46" i="19"/>
  <c r="B46" i="21"/>
  <c r="B77" i="24"/>
  <c r="B42" i="7"/>
  <c r="B42" i="9"/>
  <c r="B42" i="11"/>
  <c r="B42" i="5"/>
  <c r="B42" i="8"/>
  <c r="B42" i="10"/>
  <c r="B66" i="10"/>
  <c r="B45" i="13"/>
  <c r="B42" i="13" s="1"/>
  <c r="B72" i="13"/>
  <c r="B66" i="13" s="1"/>
  <c r="B42" i="26"/>
  <c r="B42" i="15"/>
  <c r="B66" i="15"/>
  <c r="B42" i="16"/>
  <c r="B66" i="16"/>
  <c r="B42" i="17"/>
  <c r="B42" i="25"/>
  <c r="B42" i="22"/>
  <c r="B42" i="24"/>
  <c r="B82" i="6" l="1"/>
  <c r="B83" i="6" s="1"/>
  <c r="B84" i="6" s="1"/>
  <c r="B87" i="38"/>
  <c r="E32" i="38"/>
  <c r="E32" i="39"/>
  <c r="B87" i="39"/>
  <c r="B66" i="27"/>
  <c r="B82" i="27" s="1"/>
  <c r="B83" i="27" s="1"/>
  <c r="B84" i="27" s="1"/>
  <c r="B85" i="29"/>
  <c r="B86" i="29" s="1"/>
  <c r="B87" i="29" s="1"/>
  <c r="B66" i="21"/>
  <c r="B82" i="21" s="1"/>
  <c r="B83" i="21" s="1"/>
  <c r="B84" i="21" s="1"/>
  <c r="B66" i="26"/>
  <c r="B82" i="26" s="1"/>
  <c r="B83" i="26" s="1"/>
  <c r="B84" i="26" s="1"/>
  <c r="B82" i="14"/>
  <c r="B83" i="14" s="1"/>
  <c r="B84" i="14" s="1"/>
  <c r="B66" i="11"/>
  <c r="B82" i="11" s="1"/>
  <c r="B83" i="11" s="1"/>
  <c r="B84" i="11" s="1"/>
  <c r="B66" i="8"/>
  <c r="B82" i="8" s="1"/>
  <c r="B83" i="8" s="1"/>
  <c r="B84" i="8" s="1"/>
  <c r="B66" i="7"/>
  <c r="B82" i="7" s="1"/>
  <c r="B82" i="4"/>
  <c r="B83" i="4" s="1"/>
  <c r="B84" i="4" s="1"/>
  <c r="B66" i="25"/>
  <c r="B82" i="25" s="1"/>
  <c r="B82" i="17"/>
  <c r="B83" i="17" s="1"/>
  <c r="B84" i="17" s="1"/>
  <c r="B82" i="16"/>
  <c r="B83" i="16" s="1"/>
  <c r="B84" i="16" s="1"/>
  <c r="B82" i="15"/>
  <c r="B83" i="15" s="1"/>
  <c r="B84" i="15" s="1"/>
  <c r="B82" i="13"/>
  <c r="B83" i="13" s="1"/>
  <c r="B84" i="13" s="1"/>
  <c r="B83" i="18"/>
  <c r="B84" i="18" s="1"/>
  <c r="B83" i="12"/>
  <c r="B84" i="12" s="1"/>
  <c r="B82" i="24"/>
  <c r="B82" i="22"/>
  <c r="B82" i="9"/>
  <c r="B66" i="23"/>
  <c r="B82" i="23" s="1"/>
  <c r="B66" i="28"/>
  <c r="B82" i="28" s="1"/>
  <c r="B82" i="10"/>
  <c r="B66" i="5"/>
  <c r="B82" i="5" s="1"/>
  <c r="B66" i="19"/>
  <c r="B82" i="19" s="1"/>
  <c r="E32" i="29" l="1"/>
  <c r="B85" i="6"/>
  <c r="B86" i="6" s="1"/>
  <c r="B85" i="26"/>
  <c r="B86" i="26" s="1"/>
  <c r="B85" i="18"/>
  <c r="B86" i="18" s="1"/>
  <c r="B85" i="8"/>
  <c r="B86" i="8" s="1"/>
  <c r="B85" i="27"/>
  <c r="B86" i="27" s="1"/>
  <c r="B83" i="19"/>
  <c r="B84" i="19" s="1"/>
  <c r="B83" i="23"/>
  <c r="B84" i="23" s="1"/>
  <c r="B83" i="7"/>
  <c r="B84" i="7" s="1"/>
  <c r="B85" i="15"/>
  <c r="B86" i="15" s="1"/>
  <c r="B83" i="28"/>
  <c r="B84" i="28" s="1"/>
  <c r="B83" i="9"/>
  <c r="B84" i="9" s="1"/>
  <c r="B83" i="24"/>
  <c r="B84" i="24" s="1"/>
  <c r="B83" i="25"/>
  <c r="B84" i="25" s="1"/>
  <c r="B83" i="10"/>
  <c r="B84" i="10" s="1"/>
  <c r="B83" i="22"/>
  <c r="B84" i="22" s="1"/>
  <c r="B85" i="11"/>
  <c r="B86" i="11" s="1"/>
  <c r="B85" i="13"/>
  <c r="B86" i="13" s="1"/>
  <c r="B85" i="16"/>
  <c r="B86" i="16" s="1"/>
  <c r="B85" i="17"/>
  <c r="B86" i="17" s="1"/>
  <c r="B85" i="4"/>
  <c r="B86" i="4" s="1"/>
  <c r="B83" i="5"/>
  <c r="B84" i="5" s="1"/>
  <c r="B85" i="12"/>
  <c r="B86" i="12" s="1"/>
  <c r="B85" i="14"/>
  <c r="B86" i="14" s="1"/>
  <c r="B85" i="21"/>
  <c r="B86" i="21" s="1"/>
  <c r="B85" i="22" l="1"/>
  <c r="B86" i="22" s="1"/>
  <c r="B85" i="25"/>
  <c r="B86" i="25" s="1"/>
  <c r="B85" i="9"/>
  <c r="B86" i="9" s="1"/>
  <c r="E32" i="8"/>
  <c r="B87" i="8"/>
  <c r="E32" i="26"/>
  <c r="B87" i="26"/>
  <c r="E32" i="4"/>
  <c r="B87" i="4"/>
  <c r="B85" i="10"/>
  <c r="B86" i="10" s="1"/>
  <c r="B85" i="24"/>
  <c r="B86" i="24" s="1"/>
  <c r="B85" i="7"/>
  <c r="B86" i="7" s="1"/>
  <c r="E32" i="27"/>
  <c r="B87" i="27"/>
  <c r="E32" i="18"/>
  <c r="B87" i="18"/>
  <c r="E32" i="6"/>
  <c r="B87" i="6"/>
  <c r="E32" i="21"/>
  <c r="B87" i="21"/>
  <c r="E32" i="14"/>
  <c r="B87" i="14"/>
  <c r="E32" i="12"/>
  <c r="B87" i="12"/>
  <c r="B85" i="5"/>
  <c r="B86" i="5" s="1"/>
  <c r="E32" i="17"/>
  <c r="B87" i="17"/>
  <c r="E32" i="16"/>
  <c r="B87" i="16"/>
  <c r="E32" i="13"/>
  <c r="B87" i="13"/>
  <c r="E32" i="11"/>
  <c r="B87" i="11"/>
  <c r="B85" i="28"/>
  <c r="B86" i="28" s="1"/>
  <c r="E32" i="15"/>
  <c r="B87" i="15"/>
  <c r="B85" i="23"/>
  <c r="B86" i="23" s="1"/>
  <c r="B85" i="19"/>
  <c r="B86" i="19" s="1"/>
  <c r="E32" i="28" l="1"/>
  <c r="B87" i="28"/>
  <c r="E32" i="7"/>
  <c r="B87" i="7"/>
  <c r="E32" i="10"/>
  <c r="B87" i="10"/>
  <c r="E32" i="25"/>
  <c r="B87" i="25"/>
  <c r="E32" i="24"/>
  <c r="B87" i="24"/>
  <c r="E32" i="9"/>
  <c r="B87" i="9"/>
  <c r="E32" i="22"/>
  <c r="B87" i="22"/>
  <c r="E32" i="19"/>
  <c r="B87" i="19"/>
  <c r="E32" i="23"/>
  <c r="B87" i="23"/>
  <c r="E32" i="5"/>
  <c r="B87" i="5"/>
  <c r="B81" i="2" l="1"/>
  <c r="B76" i="2"/>
  <c r="B68" i="2"/>
  <c r="B49" i="2"/>
  <c r="B48" i="2"/>
  <c r="B33" i="2"/>
  <c r="B81" i="1"/>
  <c r="B76" i="1"/>
  <c r="B68" i="1"/>
  <c r="B49" i="1" l="1"/>
  <c r="B48" i="1"/>
  <c r="B33" i="1"/>
  <c r="B79" i="2" l="1"/>
  <c r="B75" i="2"/>
  <c r="B59" i="2"/>
  <c r="B46" i="2" s="1"/>
  <c r="D57" i="2"/>
  <c r="D56" i="2"/>
  <c r="G32" i="2"/>
  <c r="F32" i="2"/>
  <c r="B32" i="2"/>
  <c r="B27" i="2"/>
  <c r="B16" i="2"/>
  <c r="B15" i="2"/>
  <c r="B79" i="1"/>
  <c r="B75" i="1"/>
  <c r="B59" i="1"/>
  <c r="D57" i="1"/>
  <c r="D56" i="1"/>
  <c r="B52" i="1"/>
  <c r="G32" i="1"/>
  <c r="F32" i="1"/>
  <c r="B32" i="1"/>
  <c r="B16" i="1"/>
  <c r="B15" i="1"/>
  <c r="B71" i="1" l="1"/>
  <c r="B74" i="1"/>
  <c r="B73" i="1"/>
  <c r="B72" i="1"/>
  <c r="B45" i="1"/>
  <c r="B72" i="2"/>
  <c r="B73" i="2"/>
  <c r="B74" i="2"/>
  <c r="B45" i="2"/>
  <c r="B71" i="2"/>
  <c r="B77" i="1"/>
  <c r="B46" i="1"/>
  <c r="B77" i="2"/>
  <c r="B42" i="1"/>
  <c r="B42" i="2"/>
  <c r="B66" i="2" l="1"/>
  <c r="B82" i="2" s="1"/>
  <c r="B66" i="1"/>
  <c r="B82" i="1" s="1"/>
  <c r="B83" i="2" l="1"/>
  <c r="B84" i="2" s="1"/>
  <c r="B85" i="2" s="1"/>
  <c r="B86" i="2" s="1"/>
  <c r="B83" i="1"/>
  <c r="B84" i="1" s="1"/>
  <c r="E32" i="2" l="1"/>
  <c r="B87" i="2"/>
  <c r="B85" i="1"/>
  <c r="B86" i="1" s="1"/>
  <c r="E32" i="1" l="1"/>
  <c r="B87" i="1"/>
</calcChain>
</file>

<file path=xl/sharedStrings.xml><?xml version="1.0" encoding="utf-8"?>
<sst xmlns="http://schemas.openxmlformats.org/spreadsheetml/2006/main" count="4014" uniqueCount="424">
  <si>
    <t>АО "УЖХ Демского района городского округа город Уфа Республики Башкортостан"</t>
  </si>
  <si>
    <t>Отчет о выполненных работах и оказанных услугах по содержанию и ремонту</t>
  </si>
  <si>
    <t>общего имущества многоквартирного дома</t>
  </si>
  <si>
    <t>Ул. Центральная дом 28</t>
  </si>
  <si>
    <t>Перечень работ и услуг</t>
  </si>
  <si>
    <t>Факт</t>
  </si>
  <si>
    <t>Объем                 (в год)</t>
  </si>
  <si>
    <t>Стоимость за ед. изм.</t>
  </si>
  <si>
    <t>Сальдо на конец  периода (экономия +), (перерасход -)</t>
  </si>
  <si>
    <t>Задолженность населения за ЖКУ  на начало периода</t>
  </si>
  <si>
    <t>1. Доходы</t>
  </si>
  <si>
    <t>-</t>
  </si>
  <si>
    <t>Общая площадь жилых помещений</t>
  </si>
  <si>
    <t>Общая площадь нежилых помещений</t>
  </si>
  <si>
    <t>Общая площадь жилых и нежилых помещений</t>
  </si>
  <si>
    <t>Уборочная площадь территории (приведенная)</t>
  </si>
  <si>
    <t xml:space="preserve">Уборочная площадь лестничных клеток </t>
  </si>
  <si>
    <t xml:space="preserve">Площадь подвала </t>
  </si>
  <si>
    <t>Площадь чердака</t>
  </si>
  <si>
    <t>Площадь кровли</t>
  </si>
  <si>
    <t>Количество лифтов</t>
  </si>
  <si>
    <t xml:space="preserve">Численность проживающих </t>
  </si>
  <si>
    <t>Выручка по содержанию жилых помещений (начислено)</t>
  </si>
  <si>
    <t>Выручка по содержанию нежилых помещений</t>
  </si>
  <si>
    <t>Выручка по содержанию нежилых помещений (поступило)</t>
  </si>
  <si>
    <t xml:space="preserve">Выручка от управления общим имуществом </t>
  </si>
  <si>
    <t>Выручка по текущему ремонту</t>
  </si>
  <si>
    <t>2. Расходы:</t>
  </si>
  <si>
    <t>1.Набор работ по техническому обслуживанию конструктивных элементов зданий и внутридомового оборудования подготовке к сезонной эксплуатации</t>
  </si>
  <si>
    <t xml:space="preserve"> - опрессовка (гидравлические испытания), промывка системы ЦО</t>
  </si>
  <si>
    <t xml:space="preserve"> - очистка кровли от снега и наледи</t>
  </si>
  <si>
    <t xml:space="preserve"> - общестроительные работы</t>
  </si>
  <si>
    <t xml:space="preserve"> - сантехнические работы</t>
  </si>
  <si>
    <t xml:space="preserve"> - благоустройство</t>
  </si>
  <si>
    <t xml:space="preserve"> - установка почтовых ящиков</t>
  </si>
  <si>
    <r>
      <t xml:space="preserve"> - прочие (</t>
    </r>
    <r>
      <rPr>
        <i/>
        <sz val="12"/>
        <color indexed="8"/>
        <rFont val="Times New Roman"/>
        <family val="1"/>
        <charset val="204"/>
      </rPr>
      <t xml:space="preserve">замена труб, водомера ревизия вентелей, ремонт оголовок, прочистка канализ….) </t>
    </r>
  </si>
  <si>
    <t xml:space="preserve"> - ремонт кровли</t>
  </si>
  <si>
    <r>
      <t>2. Расходы по техническому обслуживанию конструктивных элементов зданий и инженерных коммуникаций МКД, работа по заявкам населения (</t>
    </r>
    <r>
      <rPr>
        <i/>
        <sz val="12"/>
        <color indexed="8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</si>
  <si>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непредвиденный ремонт конструктивных элементов</t>
  </si>
  <si>
    <t xml:space="preserve"> - непредвиденный ремонт инженерного оборудования</t>
  </si>
  <si>
    <t xml:space="preserve"> - услуги службы технического обслуживания и ремонта электрооборудования </t>
  </si>
  <si>
    <t>3. Услуги сторонних организаций</t>
  </si>
  <si>
    <t xml:space="preserve"> - дератизации</t>
  </si>
  <si>
    <t>чердак+подвал</t>
  </si>
  <si>
    <t xml:space="preserve"> - дезинсекции</t>
  </si>
  <si>
    <t>подвал</t>
  </si>
  <si>
    <t xml:space="preserve"> - материалы</t>
  </si>
  <si>
    <t xml:space="preserve"> - освидетельствование лифтов</t>
  </si>
  <si>
    <t xml:space="preserve"> - изготовление технического паспорта</t>
  </si>
  <si>
    <t xml:space="preserve"> - страхование лифтов</t>
  </si>
  <si>
    <t xml:space="preserve"> - обслуживание узлов автоматического регулирования</t>
  </si>
  <si>
    <t xml:space="preserve"> - обслуживание узлов учета тепловой энергии</t>
  </si>
  <si>
    <t xml:space="preserve"> - госповерка узлов учета тепловой энергии</t>
  </si>
  <si>
    <t xml:space="preserve"> - обслуживание индивидуального теплового пункта</t>
  </si>
  <si>
    <t xml:space="preserve"> - обслуживание насосных станций</t>
  </si>
  <si>
    <t xml:space="preserve"> - обслуживание систем АППЗ и ДУ</t>
  </si>
  <si>
    <t xml:space="preserve"> - обслуживание спецконтейнера, утилизация ртутьсодержащих ламп</t>
  </si>
  <si>
    <t xml:space="preserve"> - расходы по вывозу твердых бытовых отходов (без КГМ)</t>
  </si>
  <si>
    <t xml:space="preserve"> - огнезащитная обработка деревянных конструкция кровли</t>
  </si>
  <si>
    <t xml:space="preserve"> - ремонт ограждений</t>
  </si>
  <si>
    <t xml:space="preserve"> - услуги ВДГО</t>
  </si>
  <si>
    <t xml:space="preserve"> - расходы по обслуживанию вентканалов и дымоходов</t>
  </si>
  <si>
    <t xml:space="preserve"> - расходы по диагностированию внутреннего газопровода</t>
  </si>
  <si>
    <t>4. Услуги жилищных предприятий</t>
  </si>
  <si>
    <t xml:space="preserve"> - уборка лестничных клеток</t>
  </si>
  <si>
    <t xml:space="preserve"> - уборка придомовой территории</t>
  </si>
  <si>
    <t xml:space="preserve"> - услуги по вывозу КГМ</t>
  </si>
  <si>
    <t xml:space="preserve"> - услуги абонентской службы (содержание контролеров)</t>
  </si>
  <si>
    <t xml:space="preserve"> - услуги объединенной диспетчерской службы (ОДС)</t>
  </si>
  <si>
    <t xml:space="preserve"> - услуги аварийной  службы (АДС)</t>
  </si>
  <si>
    <t xml:space="preserve"> - услуги по сбору и вывозу растительных отходов и КГМ </t>
  </si>
  <si>
    <t xml:space="preserve"> - услуги по механизированной уборке территории  (и прочие услуги спецтехники)</t>
  </si>
  <si>
    <r>
      <t xml:space="preserve"> 5. Общеэксплуатационные расходы</t>
    </r>
    <r>
      <rPr>
        <i/>
        <sz val="12"/>
        <color indexed="8"/>
        <rFont val="Times New Roman"/>
        <family val="1"/>
        <charset val="204"/>
      </rPr>
      <t>(страхование, аммортизация имущества, ремонт машин 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</si>
  <si>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t xml:space="preserve"> - общеэксплуатационные расходы ЖЭУ</t>
  </si>
  <si>
    <t>6. Расходы по начислению и сбору платежей и управления многоквартирным домом</t>
  </si>
  <si>
    <r>
      <t xml:space="preserve"> - услуги УК (</t>
    </r>
    <r>
      <rPr>
        <i/>
        <sz val="12"/>
        <color indexed="8"/>
        <rFont val="Times New Roman"/>
        <family val="1"/>
        <charset val="204"/>
      </rPr>
      <t>организация работ по содержанию и ремонту общего имущества и предоставлению КУ</t>
    </r>
    <r>
      <rPr>
        <sz val="12"/>
        <color indexed="8"/>
        <rFont val="Times New Roman"/>
        <family val="1"/>
        <charset val="204"/>
      </rPr>
      <t>)</t>
    </r>
  </si>
  <si>
    <t xml:space="preserve"> - услуги по управлению многоквартирным домом (для нежилых помещений)</t>
  </si>
  <si>
    <r>
      <t xml:space="preserve"> - услуги ЕРКЦ </t>
    </r>
    <r>
      <rPr>
        <i/>
        <sz val="12"/>
        <color indexed="8"/>
        <rFont val="Times New Roman"/>
        <family val="1"/>
        <charset val="204"/>
      </rPr>
      <t>(начисление, формирование, печать, конвертирование, доставка ПД…..)</t>
    </r>
  </si>
  <si>
    <r>
      <t xml:space="preserve"> - услуги организаций по приему платежей ( </t>
    </r>
    <r>
      <rPr>
        <i/>
        <sz val="12"/>
        <color indexed="8"/>
        <rFont val="Times New Roman"/>
        <family val="1"/>
        <charset val="204"/>
      </rPr>
      <t>0,8% от суммы платежей</t>
    </r>
    <r>
      <rPr>
        <sz val="12"/>
        <color indexed="8"/>
        <rFont val="Times New Roman"/>
        <family val="1"/>
        <charset val="204"/>
      </rPr>
      <t>)</t>
    </r>
  </si>
  <si>
    <t>ИТОГО себестоимость</t>
  </si>
  <si>
    <t xml:space="preserve">Рентабельность 3 % </t>
  </si>
  <si>
    <t xml:space="preserve">ИТОГО стоимость услуг в год без НДС </t>
  </si>
  <si>
    <t xml:space="preserve">НДС 20 % </t>
  </si>
  <si>
    <t xml:space="preserve">ИТОГО стоимость услуг в год с НДС </t>
  </si>
  <si>
    <t>Сальдо на конец  периода (экономия +), (перерасход -) от начисленного</t>
  </si>
  <si>
    <t>Сальдо на конец  периода (экономия +), (перерасход -) от поступившего</t>
  </si>
  <si>
    <t>Задолженность населения за ЖКУ  на конец периода</t>
  </si>
  <si>
    <t xml:space="preserve">                          Главный экономист                                                                                  Е.М. Еникеева</t>
  </si>
  <si>
    <t>Отчет управляющей компании по содержанию и ремонту</t>
  </si>
  <si>
    <t>Ул. Мусы Джалиля дом 6</t>
  </si>
  <si>
    <t>Выручка по содержаниею нежилых помещений</t>
  </si>
  <si>
    <t>Выручка по содержаниею нежилых помещений (поступило)</t>
  </si>
  <si>
    <t xml:space="preserve"> - прочие</t>
  </si>
  <si>
    <t xml:space="preserve"> - обследование лифтов</t>
  </si>
  <si>
    <t xml:space="preserve"> - замер сопротивления изоляции</t>
  </si>
  <si>
    <t xml:space="preserve"> - проверка вентканалов</t>
  </si>
  <si>
    <t xml:space="preserve"> - проверка дымоходов</t>
  </si>
  <si>
    <t>за 2024 год</t>
  </si>
  <si>
    <t xml:space="preserve">                          И.о.директора                                                                                                      А.К. Шамсутдинов                                                                                                                            </t>
  </si>
  <si>
    <t>Ул. Центральная дом 22</t>
  </si>
  <si>
    <t xml:space="preserve"> - ремонтные работы ЦО</t>
  </si>
  <si>
    <r>
      <t xml:space="preserve"> - прочие (</t>
    </r>
    <r>
      <rPr>
        <i/>
        <sz val="12"/>
        <rFont val="Times New Roman"/>
        <family val="1"/>
        <charset val="204"/>
      </rPr>
      <t xml:space="preserve">замена труб, водомера ревизия вентелей, ремонт оголовок, прочистка канализ….) </t>
    </r>
  </si>
  <si>
    <r>
      <t>2. Расходы по техническому обслуживанию конструктивных элементов зданий и инженерных коммуникаций МКД, работа по заявкам населения(</t>
    </r>
    <r>
      <rPr>
        <i/>
        <sz val="12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</si>
  <si>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материалы и ремонтные работы</t>
  </si>
  <si>
    <t xml:space="preserve"> - обследование дымовых и вентиляционных каналов</t>
  </si>
  <si>
    <r>
      <t xml:space="preserve"> 5. Общеэксплуатационные расходы</t>
    </r>
    <r>
      <rPr>
        <i/>
        <sz val="12"/>
        <rFont val="Times New Roman"/>
        <family val="1"/>
        <charset val="204"/>
      </rPr>
      <t>(страхование, аммортизация имущества, ремонт машини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</si>
  <si>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r>
      <t xml:space="preserve"> - услуги УК (</t>
    </r>
    <r>
      <rPr>
        <i/>
        <sz val="12"/>
        <rFont val="Times New Roman"/>
        <family val="1"/>
        <charset val="204"/>
      </rPr>
      <t>организация работ по содержанию и ремонту общего имущества и предоставлению КУ</t>
    </r>
    <r>
      <rPr>
        <sz val="12"/>
        <rFont val="Times New Roman"/>
        <family val="1"/>
        <charset val="204"/>
      </rPr>
      <t>)</t>
    </r>
  </si>
  <si>
    <t>Ул. Центральная дом 14</t>
  </si>
  <si>
    <t xml:space="preserve"> - прочие </t>
  </si>
  <si>
    <t xml:space="preserve"> - ремонтные работы</t>
  </si>
  <si>
    <t xml:space="preserve"> - текущий ремонт кровли </t>
  </si>
  <si>
    <t>Ул. Центральная дом 12</t>
  </si>
  <si>
    <t xml:space="preserve"> - обслуживание узлов учета тепловой энергии, техническое обслуживание приборов учета тепловой энергии</t>
  </si>
  <si>
    <t>Ул. Центральная дом 10</t>
  </si>
  <si>
    <t>Ул. Центральная дом 8</t>
  </si>
  <si>
    <t>Ул. Центральная дом 4/а</t>
  </si>
  <si>
    <t xml:space="preserve"> - ремонт кровли </t>
  </si>
  <si>
    <t xml:space="preserve"> - обслуживание лифтов</t>
  </si>
  <si>
    <t xml:space="preserve"> - услуги по восстановлению герметичности дымовых каналов</t>
  </si>
  <si>
    <t>Ул. Центральная дом 4</t>
  </si>
  <si>
    <t>Ул. Центральная дом 2</t>
  </si>
  <si>
    <t>Ул. Таллинская дом 3/а</t>
  </si>
  <si>
    <t xml:space="preserve"> -проверка вентканалов </t>
  </si>
  <si>
    <t>Ул. Таллинская дом 3/1</t>
  </si>
  <si>
    <t xml:space="preserve"> - Замена деревянных оконных блоков на пластиковые</t>
  </si>
  <si>
    <t>Ул. Таллинская дом 2/1</t>
  </si>
  <si>
    <t xml:space="preserve"> - ремонт козырьков</t>
  </si>
  <si>
    <t>Ул. Рядовая дом 7/1</t>
  </si>
  <si>
    <t xml:space="preserve"> - техническое обслуживаение узла учета тепловой энергии</t>
  </si>
  <si>
    <t>Ул. Рядовая дом 5/1</t>
  </si>
  <si>
    <t>Ул. Рядовая дом 3/1</t>
  </si>
  <si>
    <t>Ул. Рядовая дом 2</t>
  </si>
  <si>
    <t xml:space="preserve"> - диагностика ВДГО</t>
  </si>
  <si>
    <t xml:space="preserve"> -  техническое обслуживание узла учета тепловой энергии</t>
  </si>
  <si>
    <t xml:space="preserve"> - установка модемов</t>
  </si>
  <si>
    <t>Ул. Правды дом 12</t>
  </si>
  <si>
    <t xml:space="preserve"> - ремонт межпанельных швов</t>
  </si>
  <si>
    <t>Ул. Локомотивная дом 26</t>
  </si>
  <si>
    <t>Ул. Локомотивная дом 6</t>
  </si>
  <si>
    <t>Ул. Локомотивная дом 4</t>
  </si>
  <si>
    <t>Ул. Локомотивная дом 2</t>
  </si>
  <si>
    <t>Ул. Левитана дом 17</t>
  </si>
  <si>
    <t>Ул. Левитана дом 13</t>
  </si>
  <si>
    <t xml:space="preserve"> -  проверка вентканалов</t>
  </si>
  <si>
    <t xml:space="preserve"> -  проверка дымоходов</t>
  </si>
  <si>
    <t>Ул. Левитана дом 5</t>
  </si>
  <si>
    <t>Ул. Дагестанская дом 5</t>
  </si>
  <si>
    <t xml:space="preserve"> - обслуживание узла учета тепловой энергии </t>
  </si>
  <si>
    <t xml:space="preserve"> -  техническое обслуживание узлов автоматического регулирования</t>
  </si>
  <si>
    <t xml:space="preserve"> - техническое обслуживание приборов автоматического регулирования параметров</t>
  </si>
  <si>
    <t xml:space="preserve"> - поверка приборов учета тепловой энергии</t>
  </si>
  <si>
    <t xml:space="preserve">                          И.о.директора                                                                                                      А.К. Шамсутдинов                                                                                                                      </t>
  </si>
  <si>
    <t>Ул. Левитана дом 8</t>
  </si>
  <si>
    <t>Выручка по содержаниею жилых помещений (начислено)</t>
  </si>
  <si>
    <t>Выручка по содержаниею жилых помещений (поступило)</t>
  </si>
  <si>
    <t xml:space="preserve"> - очистка кровли от снега</t>
  </si>
  <si>
    <t xml:space="preserve"> -  материалы</t>
  </si>
  <si>
    <t xml:space="preserve"> - услуги по механизированной уборке территории  (и прочие услуги спецтехники, вывоз снега)</t>
  </si>
  <si>
    <t>сумма больше на 150т чем в прошлом году</t>
  </si>
  <si>
    <t>Ул. Новороссийская дом 8</t>
  </si>
  <si>
    <t xml:space="preserve">Выручка по содержаниею нежилых помещений </t>
  </si>
  <si>
    <t xml:space="preserve"> - ремонтные работы цо</t>
  </si>
  <si>
    <r>
      <t xml:space="preserve"> - прочие (</t>
    </r>
    <r>
      <rPr>
        <i/>
        <sz val="9"/>
        <rFont val="Times New Roman"/>
        <family val="1"/>
        <charset val="204"/>
      </rPr>
      <t xml:space="preserve">замена труб, водомера ревизия вентелей, ремонт оголовок, прочистка канализ….) </t>
    </r>
  </si>
  <si>
    <t xml:space="preserve"> - дезинсекция</t>
  </si>
  <si>
    <r>
      <t xml:space="preserve"> 5. Общеэксплуатационные расходы</t>
    </r>
    <r>
      <rPr>
        <i/>
        <sz val="12"/>
        <rFont val="Times New Roman"/>
        <family val="1"/>
        <charset val="204"/>
      </rPr>
      <t>(страхование, аммортизация имущества, ремонт машин и оборудования, содержание производственных помещений , оплатиа труда аппарата управления, мед.обслуживание, почтово-телеграфные расходы, программное обеспечение)</t>
    </r>
  </si>
  <si>
    <r>
      <t xml:space="preserve"> - услуги УК (</t>
    </r>
    <r>
      <rPr>
        <i/>
        <sz val="10"/>
        <rFont val="Times New Roman"/>
        <family val="1"/>
        <charset val="204"/>
      </rPr>
      <t>организация работ по содержанию и ремонту общего имущества и предоставлению КУ</t>
    </r>
    <r>
      <rPr>
        <sz val="12"/>
        <rFont val="Times New Roman"/>
        <family val="1"/>
        <charset val="204"/>
      </rPr>
      <t>)</t>
    </r>
  </si>
  <si>
    <r>
      <t xml:space="preserve"> - услуги ЕРКЦ </t>
    </r>
    <r>
      <rPr>
        <i/>
        <sz val="10"/>
        <rFont val="Times New Roman"/>
        <family val="1"/>
        <charset val="204"/>
      </rPr>
      <t>(начисление, формирование, печать, конвертирование, доставка ПД…..)</t>
    </r>
  </si>
  <si>
    <r>
      <t xml:space="preserve"> - услуги организаций по приему платежей ( </t>
    </r>
    <r>
      <rPr>
        <i/>
        <sz val="10"/>
        <rFont val="Times New Roman"/>
        <family val="1"/>
        <charset val="204"/>
      </rPr>
      <t>0,8% от суммы платежей</t>
    </r>
    <r>
      <rPr>
        <sz val="12"/>
        <rFont val="Times New Roman"/>
        <family val="1"/>
        <charset val="204"/>
      </rPr>
      <t>)</t>
    </r>
  </si>
  <si>
    <t>Ул. Левитана дом 41</t>
  </si>
  <si>
    <t xml:space="preserve"> - очитска кровли от снега</t>
  </si>
  <si>
    <t>Побелка потолка</t>
  </si>
  <si>
    <t xml:space="preserve"> - изготовление техпаспорта</t>
  </si>
  <si>
    <t xml:space="preserve"> - техническое обслуживание ИТП</t>
  </si>
  <si>
    <t xml:space="preserve"> - установка насоса</t>
  </si>
  <si>
    <t>Ул. Центральная дом 51</t>
  </si>
  <si>
    <t xml:space="preserve">Окраска фасада </t>
  </si>
  <si>
    <t>Проверка на прогрев отопительных приб.</t>
  </si>
  <si>
    <t>Ул. Центральная дом 44</t>
  </si>
  <si>
    <t>Штукатурка стен,окраска фасада</t>
  </si>
  <si>
    <t xml:space="preserve">Ремонт оконных коробок </t>
  </si>
  <si>
    <t xml:space="preserve"> - дератизация</t>
  </si>
  <si>
    <t>Ул. Центральная дом 42</t>
  </si>
  <si>
    <t>Ул. Центральная дом 31/1</t>
  </si>
  <si>
    <t>Водоотлив из подвала</t>
  </si>
  <si>
    <t>Ул. Левитана дом 3</t>
  </si>
  <si>
    <t>Ул. Ухтомского дом 5</t>
  </si>
  <si>
    <r>
      <t>2. Расходы по техническому обслуживанию конструктивных элементов зданий и инженерных коммуникаций МКД, работа по заявкам населения(</t>
    </r>
    <r>
      <rPr>
        <i/>
        <sz val="12"/>
        <color indexed="8"/>
        <rFont val="Times New Roman"/>
        <family val="1"/>
        <charset val="204"/>
      </rPr>
      <t>содержание сантехника, электромонтера, кровельщика, плотника……)</t>
    </r>
  </si>
  <si>
    <t xml:space="preserve"> - сварочные работы</t>
  </si>
  <si>
    <t>Ул. Центральная дом 1</t>
  </si>
  <si>
    <t>Выручка от управления общим имуществом (начислено)</t>
  </si>
  <si>
    <t xml:space="preserve"> - смена, поверка водомера</t>
  </si>
  <si>
    <t xml:space="preserve"> - ремонт лестничных клеток </t>
  </si>
  <si>
    <t xml:space="preserve"> - услуги по механизированной уборке территории (прочие услуги спецтехники)</t>
  </si>
  <si>
    <t>Ул. Центральная дом 3</t>
  </si>
  <si>
    <t>ул. 1-я Строителей дом 42</t>
  </si>
  <si>
    <t>ул. 1-я Строителей дом 44</t>
  </si>
  <si>
    <t>ул. 1-я Строителей дом 46</t>
  </si>
  <si>
    <t>ул. Альшеевская дом 10</t>
  </si>
  <si>
    <t>ул. Альшеевская дом 12</t>
  </si>
  <si>
    <t>ул. Альшеевская дом 12/А</t>
  </si>
  <si>
    <t>ул. Альшеевская дом 14</t>
  </si>
  <si>
    <t>ул. Альшеевская дом 14/А</t>
  </si>
  <si>
    <t>ул. Альшеевская дом 15</t>
  </si>
  <si>
    <t>ул. Альшеевская дом 20/А</t>
  </si>
  <si>
    <t>ул. Аургазинская дом 8</t>
  </si>
  <si>
    <t>ул. Грозненская дом 67/1</t>
  </si>
  <si>
    <t>ул. Грозненская дом 67/2</t>
  </si>
  <si>
    <t>ул. Грозненская дом 67/3</t>
  </si>
  <si>
    <t>ул. Грозненская дом 67/4</t>
  </si>
  <si>
    <t>ул. Грозненская дом 67/5</t>
  </si>
  <si>
    <t>ул. Грозненская дом 69/7</t>
  </si>
  <si>
    <t>ул. Дагестанская дом 11</t>
  </si>
  <si>
    <t>ул. Дагестанская дом 11/1</t>
  </si>
  <si>
    <t>ул. Дагестанская дом 13</t>
  </si>
  <si>
    <t>ул. Дагестанская дом 15</t>
  </si>
  <si>
    <t>ул. Дагестанская дом 17</t>
  </si>
  <si>
    <t>ул. Дагестанская дом 19</t>
  </si>
  <si>
    <t>ул. Дагестанская дом 27</t>
  </si>
  <si>
    <t>ул. Дагестанская дом 31</t>
  </si>
  <si>
    <t>ул. Дагестанская дом 5</t>
  </si>
  <si>
    <t>ул. Дагестанская дом 7</t>
  </si>
  <si>
    <t>ул. Дагестанская дом 9</t>
  </si>
  <si>
    <t>ул. Дагестанская дом 9/1</t>
  </si>
  <si>
    <t>ул. Левитана дом 13</t>
  </si>
  <si>
    <t>ул. Левитана дом 14/1</t>
  </si>
  <si>
    <t>ул. Левитана дом 14/2</t>
  </si>
  <si>
    <t>ул. Левитана дом 14/3</t>
  </si>
  <si>
    <t>ул. Левитана дом 14/5</t>
  </si>
  <si>
    <t>ул. Левитана дом 14/6</t>
  </si>
  <si>
    <t>ул. Левитана дом 15</t>
  </si>
  <si>
    <t>ул. Левитана дом 17</t>
  </si>
  <si>
    <t>ул. Левитана дом 19</t>
  </si>
  <si>
    <t>ул. Левитана дом 20</t>
  </si>
  <si>
    <t>ул. Левитана дом 21</t>
  </si>
  <si>
    <t>ул. Левитана дом 21/А</t>
  </si>
  <si>
    <t>ул. Левитана дом 22</t>
  </si>
  <si>
    <t>ул. Левитана дом 22/2</t>
  </si>
  <si>
    <t>ул. Левитана дом 23</t>
  </si>
  <si>
    <t>ул. Левитана дом 3</t>
  </si>
  <si>
    <t>ул. Левитана дом 36</t>
  </si>
  <si>
    <t>ул. Левитана дом 37</t>
  </si>
  <si>
    <t>ул. Левитана дом 39</t>
  </si>
  <si>
    <t>ул. Левитана дом 39/А</t>
  </si>
  <si>
    <t>ул. Левитана дом 41</t>
  </si>
  <si>
    <t>ул. Левитана дом 41/А</t>
  </si>
  <si>
    <t>ул. Левитана дом 41/Б</t>
  </si>
  <si>
    <t>ул. Левитана дом 43</t>
  </si>
  <si>
    <t>ул. Левитана дом 43/А</t>
  </si>
  <si>
    <t>ул. Левитана дом 5</t>
  </si>
  <si>
    <t>ул. Левитана дом 7</t>
  </si>
  <si>
    <t>ул. Левитана дом 7/А</t>
  </si>
  <si>
    <t>ул. Левитана дом 71</t>
  </si>
  <si>
    <t>ул. Левитана дом 8</t>
  </si>
  <si>
    <t>ул. Левитана дом 9</t>
  </si>
  <si>
    <t>ул. Левитана дом 9/А</t>
  </si>
  <si>
    <t>ул. Локомотивная дом 2</t>
  </si>
  <si>
    <t>ул. Локомотивная дом 26</t>
  </si>
  <si>
    <t>ул. Локомотивная дом 4</t>
  </si>
  <si>
    <t>ул. Локомотивная дом 6</t>
  </si>
  <si>
    <t>ул. Магистральная дом 12/1</t>
  </si>
  <si>
    <t>ул. Магистральная дом 17</t>
  </si>
  <si>
    <t>ул. Магистральная дом 20/1</t>
  </si>
  <si>
    <t>ул. Магистральная дом 27</t>
  </si>
  <si>
    <t>ул. Магистральная дом 36</t>
  </si>
  <si>
    <t>ул. Магистральная дом 6</t>
  </si>
  <si>
    <t>ул. Магистральная дом 7</t>
  </si>
  <si>
    <t>ул. Магистральная дом 7/A</t>
  </si>
  <si>
    <t>ул. Магистральная дом 9</t>
  </si>
  <si>
    <t>ул. Магистральная дом 9/A</t>
  </si>
  <si>
    <t>ул. Минская дом 58</t>
  </si>
  <si>
    <t>ул. Мусоргского дом 11</t>
  </si>
  <si>
    <t>ул. Мусоргского дом 13</t>
  </si>
  <si>
    <t>ул. Мусоргского дом 15</t>
  </si>
  <si>
    <t>ул. Мусоргского дом 15/А</t>
  </si>
  <si>
    <t>ул. Мусоргского дом 17</t>
  </si>
  <si>
    <t>ул. Мусоргского дом 19/1</t>
  </si>
  <si>
    <t>ул. Мусоргского дом 19/А</t>
  </si>
  <si>
    <t>ул. Мусоргского дом 21</t>
  </si>
  <si>
    <t>ул. Мусоргского дом 21/1</t>
  </si>
  <si>
    <t>ул. Мусоргского дом 23</t>
  </si>
  <si>
    <t>ул. Мусоргского дом 25</t>
  </si>
  <si>
    <t>ул. Мусоргского дом 25/1</t>
  </si>
  <si>
    <t>ул. Мусоргского дом 7</t>
  </si>
  <si>
    <t>ул. Мусоргского дом 9</t>
  </si>
  <si>
    <t>ул. Мусоргского дом 9/А</t>
  </si>
  <si>
    <t>ул. Мусы Джалиля дом 10</t>
  </si>
  <si>
    <t>ул. Мусы Джалиля дом 4</t>
  </si>
  <si>
    <t>ул. Мусы Джалиля дом 5</t>
  </si>
  <si>
    <t>ул. Мусы Джалиля дом 6</t>
  </si>
  <si>
    <t>ул. Мусы Джалиля дом 64</t>
  </si>
  <si>
    <t>ул. Мусы Джалиля дом 66</t>
  </si>
  <si>
    <t>ул. Мусы Джалиля дом 68/1</t>
  </si>
  <si>
    <t>ул. Мусы Джалиля дом 74</t>
  </si>
  <si>
    <t>ул. Мусы Джалиля дом 74/3</t>
  </si>
  <si>
    <t>ул. Мусы Джалиля дом 8</t>
  </si>
  <si>
    <t>ул. Новороссийская дом 10</t>
  </si>
  <si>
    <t>ул. Новороссийская дом 2</t>
  </si>
  <si>
    <t>ул. Новороссийская дом 4</t>
  </si>
  <si>
    <t>ул. Новороссийская дом 6</t>
  </si>
  <si>
    <t>ул. Новороссийская дом 8</t>
  </si>
  <si>
    <t>ул. Островского дом 16/1</t>
  </si>
  <si>
    <t>ул. Островского дом 18/1</t>
  </si>
  <si>
    <t>ул. Правды дом 1</t>
  </si>
  <si>
    <t>ул. Правды дом 10</t>
  </si>
  <si>
    <t>ул. Правды дом 10/А</t>
  </si>
  <si>
    <t>ул. Правды дом 11</t>
  </si>
  <si>
    <t>ул. Правды дом 12</t>
  </si>
  <si>
    <t>ул. Правды дом 13</t>
  </si>
  <si>
    <t>ул. Правды дом 15</t>
  </si>
  <si>
    <t>ул. Правды дом 18</t>
  </si>
  <si>
    <t>ул. Правды дом 18/1</t>
  </si>
  <si>
    <t>ул. Правды дом 18/2</t>
  </si>
  <si>
    <t>ул. Правды дом 18/3</t>
  </si>
  <si>
    <t>ул. Правды дом 2</t>
  </si>
  <si>
    <t>ул. Правды дом 20</t>
  </si>
  <si>
    <t>ул. Правды дом 20/1</t>
  </si>
  <si>
    <t>ул. Правды дом 20/2</t>
  </si>
  <si>
    <t>ул. Правды дом 21</t>
  </si>
  <si>
    <t>ул. Правды дом 23</t>
  </si>
  <si>
    <t>ул. Правды дом 25</t>
  </si>
  <si>
    <t>ул. Правды дом 25/1</t>
  </si>
  <si>
    <t>ул. Правды дом 25/2</t>
  </si>
  <si>
    <t>ул. Правды дом 3</t>
  </si>
  <si>
    <t>ул. Правды дом 31/1</t>
  </si>
  <si>
    <t>ул. Правды дом 37/1</t>
  </si>
  <si>
    <t>ул. Правды дом 4</t>
  </si>
  <si>
    <t>ул. Правды дом 4/1</t>
  </si>
  <si>
    <t>ул. Правды дом 6</t>
  </si>
  <si>
    <t>ул. Правды дом 6/А</t>
  </si>
  <si>
    <t>ул. Правды дом 8</t>
  </si>
  <si>
    <t>ул. Правды дом 8/1</t>
  </si>
  <si>
    <t>ул. Правды дом 8/А</t>
  </si>
  <si>
    <t>ул. Рядовая дом 10</t>
  </si>
  <si>
    <t>ул. Рядовая дом 11</t>
  </si>
  <si>
    <t>ул. Рядовая дом 12</t>
  </si>
  <si>
    <t>ул. Рядовая дом 13</t>
  </si>
  <si>
    <t>ул. Рядовая дом 15</t>
  </si>
  <si>
    <t>ул. Рядовая дом 2</t>
  </si>
  <si>
    <t>ул. Рядовая дом 3</t>
  </si>
  <si>
    <t>ул. Рядовая дом 3/1</t>
  </si>
  <si>
    <t>ул. Рядовая дом 5</t>
  </si>
  <si>
    <t>ул. Рядовая дом 5/1</t>
  </si>
  <si>
    <t>ул. Рядовая дом 7</t>
  </si>
  <si>
    <t>ул. Рядовая дом 7/1</t>
  </si>
  <si>
    <t>ул. Рядовая дом 9</t>
  </si>
  <si>
    <t>ул. Таллинская дом 14</t>
  </si>
  <si>
    <t>ул. Таллинская дом 16</t>
  </si>
  <si>
    <t>ул. Таллинская дом 18</t>
  </si>
  <si>
    <t>ул. Таллинская дом 2/1</t>
  </si>
  <si>
    <t>ул. Таллинская дом 20</t>
  </si>
  <si>
    <t>ул. Таллинская дом 21</t>
  </si>
  <si>
    <t>ул. Таллинская дом 22</t>
  </si>
  <si>
    <t>ул. Таллинская дом 23</t>
  </si>
  <si>
    <t>ул. Таллинская дом 24</t>
  </si>
  <si>
    <t>ул. Таллинская дом 24/1</t>
  </si>
  <si>
    <t>ул. Таллинская дом 26</t>
  </si>
  <si>
    <t>ул. Таллинская дом 26/1</t>
  </si>
  <si>
    <t>ул. Таллинская дом 28</t>
  </si>
  <si>
    <t>ул. Таллинская дом 28/1</t>
  </si>
  <si>
    <t>ул. Таллинская дом 3/1</t>
  </si>
  <si>
    <t>ул. Таллинская дом 4</t>
  </si>
  <si>
    <t>ул. Таллинская дом 6</t>
  </si>
  <si>
    <t>ул. Таллинская дом 7</t>
  </si>
  <si>
    <t>ул. Ухтомского дом 11</t>
  </si>
  <si>
    <t>ул. Ухтомского дом 12</t>
  </si>
  <si>
    <t>ул. Ухтомского дом 16</t>
  </si>
  <si>
    <t>ул. Ухтомского дом 21</t>
  </si>
  <si>
    <t>ул. Ухтомского дом 22</t>
  </si>
  <si>
    <t>ул. Ухтомского дом 23</t>
  </si>
  <si>
    <t>ул. Ухтомского дом 24</t>
  </si>
  <si>
    <t>ул. Ухтомского дом 26</t>
  </si>
  <si>
    <t>ул. Ухтомского дом 26/2</t>
  </si>
  <si>
    <t>ул. Ухтомского дом 28</t>
  </si>
  <si>
    <t>ул. Ухтомского дом 30</t>
  </si>
  <si>
    <t>ул. Ухтомского дом 30/2</t>
  </si>
  <si>
    <t>ул. Ухтомского дом 5</t>
  </si>
  <si>
    <t>ул. Центральная дом 1</t>
  </si>
  <si>
    <t>ул. Центральная дом 1/2</t>
  </si>
  <si>
    <t>ул. Центральная дом 10</t>
  </si>
  <si>
    <t>ул. Центральная дом 12</t>
  </si>
  <si>
    <t>ул. Центральная дом 12/А</t>
  </si>
  <si>
    <t>ул. Центральная дом 14</t>
  </si>
  <si>
    <t>ул. Центральная дом 14/А</t>
  </si>
  <si>
    <t>ул. Центральная дом 16</t>
  </si>
  <si>
    <t>ул. Центральная дом 18/1</t>
  </si>
  <si>
    <t>ул. Центральная дом 2</t>
  </si>
  <si>
    <t>ул. Центральная дом 22</t>
  </si>
  <si>
    <t>ул. Центральная дом 22/А</t>
  </si>
  <si>
    <t>ул. Центральная дом 28</t>
  </si>
  <si>
    <t>ул. Центральная дом 3</t>
  </si>
  <si>
    <t>ул. Центральная дом 30</t>
  </si>
  <si>
    <t>ул. Центральная дом 31/1</t>
  </si>
  <si>
    <t>ул. Центральная дом 34</t>
  </si>
  <si>
    <t>ул. Центральная дом 38</t>
  </si>
  <si>
    <t>ул. Центральная дом 4</t>
  </si>
  <si>
    <t>ул. Центральная дом 4/А</t>
  </si>
  <si>
    <t>ул. Центральная дом 40</t>
  </si>
  <si>
    <t>ул. Центральная дом 42</t>
  </si>
  <si>
    <t>ул. Центральная дом 44</t>
  </si>
  <si>
    <t>ул. Центральная дом 51</t>
  </si>
  <si>
    <t>ул. Центральная дом 6</t>
  </si>
  <si>
    <t>ул. Центральная дом 6/1</t>
  </si>
  <si>
    <t>ул. Центральная дом 8</t>
  </si>
  <si>
    <t>ул. Мусоргского дом 19/б</t>
  </si>
  <si>
    <t>ул. Таллинская дом 21/А</t>
  </si>
  <si>
    <t>ул. Таллинская дом 23/А</t>
  </si>
  <si>
    <t>ул. Таллинская дом 23/Б</t>
  </si>
  <si>
    <t>ул. Таллинская дом 3/А</t>
  </si>
  <si>
    <t>ул. Таллинская дом 3/Б</t>
  </si>
  <si>
    <t>ул. Туринская дом 2/А</t>
  </si>
  <si>
    <t>ул. Туринская дом 2/Б</t>
  </si>
  <si>
    <t>ул. Юматовская дом 2/Б</t>
  </si>
  <si>
    <t>ул. Мусоргского дом 13/а</t>
  </si>
  <si>
    <t xml:space="preserve">                          И.о.директора                                                                                                      А.К.Шамсутдинов                                                                                                                    </t>
  </si>
  <si>
    <t xml:space="preserve">                              И.о. директора                                                                                    А.К.Шамсутдинов                                                                                                </t>
  </si>
  <si>
    <t xml:space="preserve">                          И.о.И.о.директораа                                                                                                      А.К.Шамсутдинов                                                                                                                    </t>
  </si>
  <si>
    <t xml:space="preserve">                              И.о.директора                                                                                               А.К.Шамсутдинов                                                                                  </t>
  </si>
  <si>
    <t xml:space="preserve"> - техническое обслуживание  УУТЭ</t>
  </si>
  <si>
    <t xml:space="preserve"> - проверка вентканалов и дымоходов</t>
  </si>
  <si>
    <t xml:space="preserve"> - проверка дымоходов и вентканалов</t>
  </si>
  <si>
    <t xml:space="preserve"> - проверка дымоходов и  вентканалов</t>
  </si>
  <si>
    <t xml:space="preserve"> - прочие  </t>
  </si>
  <si>
    <t>- очистка кровли от снега</t>
  </si>
  <si>
    <t xml:space="preserve"> - УУТЭ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</si>
</sst>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_-* #,##0.00\ _₽_-;\-* #,##0.00\ _₽_-;_-* &quot;-&quot;??\ _₽_-;_-@_-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3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u/>
      <sz val="12"/>
      <color indexed="8"/>
      <name val="Times New Roman"/>
      <family val="1"/>
      <charset val="204"/>
    </font>
    <font>
      <b/>
      <i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1"/>
      <color indexed="8"/>
      <name val="Arial Cyr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b/>
      <sz val="13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1"/>
      <name val="Arial Cyr"/>
      <charset val="204"/>
    </font>
    <font>
      <b/>
      <i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color indexed="10"/>
      <name val="Arial"/>
      <family val="2"/>
      <charset val="204"/>
    </font>
    <font>
      <sz val="12"/>
      <color indexed="10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scheme val="minor"/>
    </font>
    <font>
      <i/>
      <u/>
      <sz val="12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3F2F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9" fillId="0" borderId="0" applyFont="0" applyFill="0" applyBorder="0" applyAlignment="0" applyProtection="0"/>
    <xf numFmtId="0" fontId="2" fillId="0" borderId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166" fontId="19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5" fillId="0" borderId="0" xfId="2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2" applyFont="1"/>
    <xf numFmtId="0" fontId="12" fillId="0" borderId="9" xfId="2" applyFont="1" applyBorder="1" applyAlignment="1">
      <alignment horizontal="left" vertical="center" wrapText="1"/>
    </xf>
    <xf numFmtId="4" fontId="13" fillId="0" borderId="9" xfId="0" applyNumberFormat="1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 wrapText="1"/>
    </xf>
    <xf numFmtId="0" fontId="12" fillId="0" borderId="11" xfId="2" applyFont="1" applyBorder="1" applyAlignment="1">
      <alignment horizontal="left" vertical="center" wrapText="1"/>
    </xf>
    <xf numFmtId="2" fontId="11" fillId="0" borderId="12" xfId="0" applyNumberFormat="1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/>
    </xf>
    <xf numFmtId="4" fontId="14" fillId="0" borderId="3" xfId="0" applyNumberFormat="1" applyFont="1" applyBorder="1"/>
    <xf numFmtId="4" fontId="16" fillId="0" borderId="9" xfId="3" applyNumberFormat="1" applyFont="1" applyFill="1" applyBorder="1" applyAlignment="1">
      <alignment horizontal="center" vertical="center" wrapText="1"/>
    </xf>
    <xf numFmtId="4" fontId="16" fillId="0" borderId="13" xfId="3" applyNumberFormat="1" applyFont="1" applyFill="1" applyBorder="1" applyAlignment="1">
      <alignment horizontal="center" vertical="center" wrapText="1"/>
    </xf>
    <xf numFmtId="0" fontId="4" fillId="0" borderId="14" xfId="2" applyFont="1" applyBorder="1" applyAlignment="1">
      <alignment horizontal="left"/>
    </xf>
    <xf numFmtId="4" fontId="14" fillId="0" borderId="15" xfId="0" applyNumberFormat="1" applyFont="1" applyBorder="1" applyAlignment="1">
      <alignment horizontal="center"/>
    </xf>
    <xf numFmtId="4" fontId="16" fillId="0" borderId="15" xfId="3" applyNumberFormat="1" applyFont="1" applyFill="1" applyBorder="1" applyAlignment="1">
      <alignment horizontal="center" vertical="center" wrapText="1"/>
    </xf>
    <xf numFmtId="4" fontId="16" fillId="0" borderId="16" xfId="3" applyNumberFormat="1" applyFont="1" applyFill="1" applyBorder="1" applyAlignment="1">
      <alignment horizontal="center" vertical="center" wrapText="1"/>
    </xf>
    <xf numFmtId="4" fontId="16" fillId="0" borderId="3" xfId="3" applyNumberFormat="1" applyFont="1" applyFill="1" applyBorder="1" applyAlignment="1">
      <alignment horizontal="center" vertical="center" wrapText="1"/>
    </xf>
    <xf numFmtId="4" fontId="16" fillId="0" borderId="12" xfId="3" applyNumberFormat="1" applyFont="1" applyFill="1" applyBorder="1" applyAlignment="1">
      <alignment horizontal="center" vertical="center" wrapText="1"/>
    </xf>
    <xf numFmtId="4" fontId="16" fillId="0" borderId="7" xfId="3" applyNumberFormat="1" applyFont="1" applyFill="1" applyBorder="1" applyAlignment="1">
      <alignment horizontal="center" vertical="center" wrapText="1"/>
    </xf>
    <xf numFmtId="0" fontId="5" fillId="0" borderId="14" xfId="2" applyFont="1" applyBorder="1" applyAlignment="1">
      <alignment horizontal="left"/>
    </xf>
    <xf numFmtId="4" fontId="17" fillId="0" borderId="15" xfId="0" applyNumberFormat="1" applyFont="1" applyBorder="1" applyAlignment="1">
      <alignment horizontal="center"/>
    </xf>
    <xf numFmtId="4" fontId="16" fillId="0" borderId="10" xfId="3" applyNumberFormat="1" applyFont="1" applyFill="1" applyBorder="1" applyAlignment="1">
      <alignment horizontal="center" vertical="center" wrapText="1"/>
    </xf>
    <xf numFmtId="0" fontId="4" fillId="0" borderId="17" xfId="2" applyFont="1" applyBorder="1"/>
    <xf numFmtId="0" fontId="5" fillId="0" borderId="14" xfId="2" applyFont="1" applyBorder="1" applyAlignment="1">
      <alignment horizontal="center"/>
    </xf>
    <xf numFmtId="0" fontId="12" fillId="0" borderId="14" xfId="2" applyFont="1" applyBorder="1" applyAlignment="1">
      <alignment horizontal="left" wrapText="1"/>
    </xf>
    <xf numFmtId="4" fontId="13" fillId="0" borderId="15" xfId="0" applyNumberFormat="1" applyFont="1" applyBorder="1" applyAlignment="1">
      <alignment horizontal="center"/>
    </xf>
    <xf numFmtId="165" fontId="12" fillId="0" borderId="0" xfId="0" applyNumberFormat="1" applyFont="1"/>
    <xf numFmtId="0" fontId="12" fillId="0" borderId="0" xfId="0" applyFont="1"/>
    <xf numFmtId="49" fontId="4" fillId="0" borderId="14" xfId="2" applyNumberFormat="1" applyFont="1" applyBorder="1" applyAlignment="1">
      <alignment horizontal="left" wrapText="1"/>
    </xf>
    <xf numFmtId="49" fontId="18" fillId="0" borderId="14" xfId="2" applyNumberFormat="1" applyFont="1" applyBorder="1" applyAlignment="1">
      <alignment horizontal="left" wrapText="1"/>
    </xf>
    <xf numFmtId="4" fontId="16" fillId="0" borderId="18" xfId="3" applyNumberFormat="1" applyFont="1" applyFill="1" applyBorder="1" applyAlignment="1">
      <alignment horizontal="center" vertical="center" wrapText="1"/>
    </xf>
    <xf numFmtId="49" fontId="4" fillId="0" borderId="14" xfId="2" applyNumberFormat="1" applyFont="1" applyBorder="1" applyAlignment="1">
      <alignment horizontal="left"/>
    </xf>
    <xf numFmtId="0" fontId="4" fillId="0" borderId="15" xfId="0" applyFont="1" applyBorder="1" applyAlignment="1">
      <alignment horizontal="left" vertical="center" wrapText="1"/>
    </xf>
    <xf numFmtId="2" fontId="16" fillId="0" borderId="15" xfId="3" applyNumberFormat="1" applyFont="1" applyFill="1" applyBorder="1" applyAlignment="1">
      <alignment horizontal="center" vertical="center" wrapText="1"/>
    </xf>
    <xf numFmtId="4" fontId="14" fillId="0" borderId="15" xfId="0" applyNumberFormat="1" applyFont="1" applyBorder="1" applyAlignment="1">
      <alignment horizontal="center" vertical="center" wrapText="1"/>
    </xf>
    <xf numFmtId="3" fontId="16" fillId="0" borderId="16" xfId="3" applyNumberFormat="1" applyFont="1" applyFill="1" applyBorder="1" applyAlignment="1">
      <alignment horizontal="center" vertical="center" wrapText="1"/>
    </xf>
    <xf numFmtId="3" fontId="16" fillId="0" borderId="9" xfId="3" applyNumberFormat="1" applyFont="1" applyFill="1" applyBorder="1" applyAlignment="1">
      <alignment horizontal="center" vertical="center" wrapText="1"/>
    </xf>
    <xf numFmtId="3" fontId="16" fillId="0" borderId="10" xfId="3" applyNumberFormat="1" applyFont="1" applyFill="1" applyBorder="1" applyAlignment="1">
      <alignment horizontal="center" vertical="center" wrapText="1"/>
    </xf>
    <xf numFmtId="49" fontId="12" fillId="0" borderId="14" xfId="2" applyNumberFormat="1" applyFont="1" applyBorder="1" applyAlignment="1">
      <alignment horizontal="left" wrapText="1"/>
    </xf>
    <xf numFmtId="4" fontId="16" fillId="0" borderId="2" xfId="3" applyNumberFormat="1" applyFont="1" applyFill="1" applyBorder="1" applyAlignment="1">
      <alignment horizontal="center" vertical="center" wrapText="1"/>
    </xf>
    <xf numFmtId="49" fontId="18" fillId="0" borderId="14" xfId="2" applyNumberFormat="1" applyFont="1" applyBorder="1" applyAlignment="1">
      <alignment horizontal="left"/>
    </xf>
    <xf numFmtId="49" fontId="12" fillId="0" borderId="14" xfId="2" applyNumberFormat="1" applyFont="1" applyBorder="1" applyAlignment="1">
      <alignment horizontal="left" vertical="center" wrapText="1"/>
    </xf>
    <xf numFmtId="49" fontId="4" fillId="0" borderId="14" xfId="1" applyNumberFormat="1" applyFont="1" applyFill="1" applyBorder="1" applyAlignment="1">
      <alignment wrapText="1"/>
    </xf>
    <xf numFmtId="49" fontId="18" fillId="0" borderId="14" xfId="1" applyNumberFormat="1" applyFont="1" applyFill="1" applyBorder="1"/>
    <xf numFmtId="49" fontId="4" fillId="0" borderId="14" xfId="0" applyNumberFormat="1" applyFont="1" applyBorder="1"/>
    <xf numFmtId="49" fontId="12" fillId="0" borderId="14" xfId="2" applyNumberFormat="1" applyFont="1" applyBorder="1" applyAlignment="1">
      <alignment horizontal="left"/>
    </xf>
    <xf numFmtId="49" fontId="4" fillId="0" borderId="14" xfId="2" applyNumberFormat="1" applyFont="1" applyBorder="1" applyAlignment="1">
      <alignment horizontal="justify"/>
    </xf>
    <xf numFmtId="49" fontId="12" fillId="0" borderId="14" xfId="2" applyNumberFormat="1" applyFont="1" applyBorder="1" applyAlignment="1">
      <alignment horizontal="justify"/>
    </xf>
    <xf numFmtId="49" fontId="4" fillId="0" borderId="19" xfId="2" applyNumberFormat="1" applyFont="1" applyBorder="1"/>
    <xf numFmtId="4" fontId="14" fillId="0" borderId="18" xfId="0" applyNumberFormat="1" applyFont="1" applyBorder="1" applyAlignment="1">
      <alignment horizontal="center"/>
    </xf>
    <xf numFmtId="49" fontId="12" fillId="0" borderId="20" xfId="2" applyNumberFormat="1" applyFont="1" applyBorder="1" applyAlignment="1">
      <alignment horizontal="justify"/>
    </xf>
    <xf numFmtId="4" fontId="13" fillId="0" borderId="9" xfId="0" applyNumberFormat="1" applyFont="1" applyBorder="1" applyAlignment="1">
      <alignment horizontal="center"/>
    </xf>
    <xf numFmtId="4" fontId="16" fillId="0" borderId="21" xfId="3" applyNumberFormat="1" applyFont="1" applyFill="1" applyBorder="1" applyAlignment="1">
      <alignment horizontal="center" vertical="center" wrapText="1"/>
    </xf>
    <xf numFmtId="49" fontId="12" fillId="0" borderId="9" xfId="2" applyNumberFormat="1" applyFont="1" applyBorder="1" applyAlignment="1">
      <alignment horizontal="justify"/>
    </xf>
    <xf numFmtId="4" fontId="16" fillId="0" borderId="22" xfId="3" applyNumberFormat="1" applyFont="1" applyFill="1" applyBorder="1" applyAlignment="1">
      <alignment horizontal="center" vertical="center" wrapText="1"/>
    </xf>
    <xf numFmtId="4" fontId="16" fillId="0" borderId="0" xfId="3" applyNumberFormat="1" applyFont="1" applyFill="1" applyBorder="1" applyAlignment="1">
      <alignment horizontal="center" vertical="center" wrapText="1"/>
    </xf>
    <xf numFmtId="49" fontId="12" fillId="0" borderId="6" xfId="2" applyNumberFormat="1" applyFont="1" applyBorder="1" applyAlignment="1">
      <alignment horizontal="justify"/>
    </xf>
    <xf numFmtId="4" fontId="16" fillId="0" borderId="6" xfId="3" applyNumberFormat="1" applyFont="1" applyFill="1" applyBorder="1" applyAlignment="1">
      <alignment horizontal="center" vertical="center" wrapText="1"/>
    </xf>
    <xf numFmtId="0" fontId="12" fillId="0" borderId="5" xfId="2" applyFont="1" applyBorder="1" applyAlignment="1">
      <alignment horizontal="left" vertical="center" wrapText="1"/>
    </xf>
    <xf numFmtId="49" fontId="12" fillId="0" borderId="0" xfId="2" applyNumberFormat="1" applyFont="1" applyAlignment="1">
      <alignment horizontal="justify"/>
    </xf>
    <xf numFmtId="4" fontId="13" fillId="0" borderId="0" xfId="0" applyNumberFormat="1" applyFont="1" applyAlignment="1">
      <alignment horizontal="center"/>
    </xf>
    <xf numFmtId="0" fontId="18" fillId="0" borderId="0" xfId="0" applyFont="1"/>
    <xf numFmtId="0" fontId="4" fillId="0" borderId="0" xfId="0" applyFont="1" applyAlignment="1">
      <alignment horizontal="left"/>
    </xf>
    <xf numFmtId="0" fontId="1" fillId="0" borderId="17" xfId="0" applyFont="1" applyBorder="1"/>
    <xf numFmtId="2" fontId="1" fillId="0" borderId="17" xfId="0" applyNumberFormat="1" applyFont="1" applyBorder="1"/>
    <xf numFmtId="0" fontId="21" fillId="0" borderId="0" xfId="2" applyFont="1" applyAlignment="1">
      <alignment horizontal="center"/>
    </xf>
    <xf numFmtId="0" fontId="23" fillId="0" borderId="9" xfId="2" applyFont="1" applyBorder="1" applyAlignment="1">
      <alignment horizontal="left" vertical="center" wrapText="1"/>
    </xf>
    <xf numFmtId="2" fontId="22" fillId="0" borderId="6" xfId="0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0" fontId="23" fillId="0" borderId="11" xfId="2" applyFont="1" applyBorder="1" applyAlignment="1">
      <alignment horizontal="left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/>
    </xf>
    <xf numFmtId="4" fontId="24" fillId="0" borderId="9" xfId="3" applyNumberFormat="1" applyFont="1" applyFill="1" applyBorder="1" applyAlignment="1">
      <alignment horizontal="center" vertical="center" wrapText="1"/>
    </xf>
    <xf numFmtId="4" fontId="24" fillId="0" borderId="13" xfId="3" applyNumberFormat="1" applyFont="1" applyFill="1" applyBorder="1" applyAlignment="1">
      <alignment horizontal="center" vertical="center" wrapText="1"/>
    </xf>
    <xf numFmtId="0" fontId="18" fillId="0" borderId="14" xfId="2" applyFont="1" applyBorder="1" applyAlignment="1">
      <alignment horizontal="left"/>
    </xf>
    <xf numFmtId="4" fontId="24" fillId="0" borderId="15" xfId="3" applyNumberFormat="1" applyFont="1" applyFill="1" applyBorder="1" applyAlignment="1">
      <alignment horizontal="center" vertical="center" wrapText="1"/>
    </xf>
    <xf numFmtId="4" fontId="24" fillId="0" borderId="16" xfId="3" applyNumberFormat="1" applyFont="1" applyFill="1" applyBorder="1" applyAlignment="1">
      <alignment horizontal="center" vertical="center" wrapText="1"/>
    </xf>
    <xf numFmtId="4" fontId="24" fillId="0" borderId="3" xfId="3" applyNumberFormat="1" applyFont="1" applyFill="1" applyBorder="1" applyAlignment="1">
      <alignment horizontal="center" vertical="center" wrapText="1"/>
    </xf>
    <xf numFmtId="4" fontId="24" fillId="0" borderId="12" xfId="3" applyNumberFormat="1" applyFont="1" applyFill="1" applyBorder="1" applyAlignment="1">
      <alignment horizontal="center" vertical="center" wrapText="1"/>
    </xf>
    <xf numFmtId="4" fontId="24" fillId="0" borderId="7" xfId="3" applyNumberFormat="1" applyFont="1" applyFill="1" applyBorder="1" applyAlignment="1">
      <alignment horizontal="center" vertical="center" wrapText="1"/>
    </xf>
    <xf numFmtId="4" fontId="25" fillId="0" borderId="13" xfId="3" applyNumberFormat="1" applyFont="1" applyFill="1" applyBorder="1" applyAlignment="1">
      <alignment horizontal="center" vertical="center" wrapText="1"/>
    </xf>
    <xf numFmtId="4" fontId="25" fillId="0" borderId="15" xfId="3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1" fillId="0" borderId="14" xfId="2" applyFont="1" applyBorder="1" applyAlignment="1">
      <alignment horizontal="left"/>
    </xf>
    <xf numFmtId="4" fontId="24" fillId="0" borderId="10" xfId="3" applyNumberFormat="1" applyFont="1" applyFill="1" applyBorder="1" applyAlignment="1">
      <alignment horizontal="center" vertical="center" wrapText="1"/>
    </xf>
    <xf numFmtId="0" fontId="18" fillId="0" borderId="17" xfId="2" applyFont="1" applyBorder="1"/>
    <xf numFmtId="0" fontId="21" fillId="0" borderId="14" xfId="2" applyFont="1" applyBorder="1" applyAlignment="1">
      <alignment horizontal="center"/>
    </xf>
    <xf numFmtId="0" fontId="23" fillId="0" borderId="14" xfId="2" applyFont="1" applyBorder="1" applyAlignment="1">
      <alignment horizontal="left" wrapText="1"/>
    </xf>
    <xf numFmtId="4" fontId="24" fillId="0" borderId="18" xfId="3" applyNumberFormat="1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 wrapText="1"/>
    </xf>
    <xf numFmtId="4" fontId="14" fillId="0" borderId="23" xfId="0" applyNumberFormat="1" applyFont="1" applyBorder="1" applyAlignment="1">
      <alignment horizontal="center" vertical="center" wrapText="1"/>
    </xf>
    <xf numFmtId="2" fontId="24" fillId="0" borderId="15" xfId="3" applyNumberFormat="1" applyFont="1" applyFill="1" applyBorder="1" applyAlignment="1">
      <alignment horizontal="center" vertical="center" wrapText="1"/>
    </xf>
    <xf numFmtId="3" fontId="24" fillId="0" borderId="16" xfId="3" applyNumberFormat="1" applyFont="1" applyFill="1" applyBorder="1" applyAlignment="1">
      <alignment horizontal="center" vertical="center" wrapText="1"/>
    </xf>
    <xf numFmtId="3" fontId="24" fillId="0" borderId="9" xfId="3" applyNumberFormat="1" applyFont="1" applyFill="1" applyBorder="1" applyAlignment="1">
      <alignment horizontal="center" vertical="center" wrapText="1"/>
    </xf>
    <xf numFmtId="3" fontId="24" fillId="0" borderId="10" xfId="3" applyNumberFormat="1" applyFont="1" applyFill="1" applyBorder="1" applyAlignment="1">
      <alignment horizontal="center" vertical="center" wrapText="1"/>
    </xf>
    <xf numFmtId="49" fontId="23" fillId="0" borderId="14" xfId="2" applyNumberFormat="1" applyFont="1" applyBorder="1" applyAlignment="1">
      <alignment horizontal="left" wrapText="1"/>
    </xf>
    <xf numFmtId="4" fontId="24" fillId="0" borderId="2" xfId="3" applyNumberFormat="1" applyFont="1" applyFill="1" applyBorder="1" applyAlignment="1">
      <alignment horizontal="center" vertical="center" wrapText="1"/>
    </xf>
    <xf numFmtId="49" fontId="23" fillId="0" borderId="14" xfId="2" applyNumberFormat="1" applyFont="1" applyBorder="1" applyAlignment="1">
      <alignment horizontal="left" vertical="center" wrapText="1"/>
    </xf>
    <xf numFmtId="49" fontId="18" fillId="0" borderId="14" xfId="1" applyNumberFormat="1" applyFont="1" applyFill="1" applyBorder="1" applyAlignment="1">
      <alignment wrapText="1"/>
    </xf>
    <xf numFmtId="49" fontId="23" fillId="0" borderId="14" xfId="2" applyNumberFormat="1" applyFont="1" applyBorder="1" applyAlignment="1">
      <alignment horizontal="left"/>
    </xf>
    <xf numFmtId="49" fontId="18" fillId="0" borderId="14" xfId="2" applyNumberFormat="1" applyFont="1" applyBorder="1" applyAlignment="1">
      <alignment horizontal="justify"/>
    </xf>
    <xf numFmtId="49" fontId="23" fillId="0" borderId="14" xfId="2" applyNumberFormat="1" applyFont="1" applyBorder="1" applyAlignment="1">
      <alignment horizontal="justify"/>
    </xf>
    <xf numFmtId="49" fontId="18" fillId="0" borderId="19" xfId="2" applyNumberFormat="1" applyFont="1" applyBorder="1"/>
    <xf numFmtId="49" fontId="23" fillId="0" borderId="20" xfId="2" applyNumberFormat="1" applyFont="1" applyBorder="1" applyAlignment="1">
      <alignment horizontal="justify"/>
    </xf>
    <xf numFmtId="4" fontId="24" fillId="0" borderId="21" xfId="3" applyNumberFormat="1" applyFont="1" applyFill="1" applyBorder="1" applyAlignment="1">
      <alignment horizontal="center" vertical="center" wrapText="1"/>
    </xf>
    <xf numFmtId="49" fontId="23" fillId="0" borderId="9" xfId="2" applyNumberFormat="1" applyFont="1" applyBorder="1" applyAlignment="1">
      <alignment horizontal="justify"/>
    </xf>
    <xf numFmtId="4" fontId="24" fillId="0" borderId="22" xfId="3" applyNumberFormat="1" applyFont="1" applyFill="1" applyBorder="1" applyAlignment="1">
      <alignment horizontal="center" vertical="center" wrapText="1"/>
    </xf>
    <xf numFmtId="4" fontId="24" fillId="0" borderId="0" xfId="3" applyNumberFormat="1" applyFont="1" applyFill="1" applyBorder="1" applyAlignment="1">
      <alignment horizontal="center" vertical="center" wrapText="1"/>
    </xf>
    <xf numFmtId="49" fontId="23" fillId="0" borderId="6" xfId="2" applyNumberFormat="1" applyFont="1" applyBorder="1" applyAlignment="1">
      <alignment horizontal="justify"/>
    </xf>
    <xf numFmtId="4" fontId="24" fillId="0" borderId="6" xfId="3" applyNumberFormat="1" applyFont="1" applyFill="1" applyBorder="1" applyAlignment="1">
      <alignment horizontal="center" vertical="center" wrapText="1"/>
    </xf>
    <xf numFmtId="0" fontId="23" fillId="0" borderId="5" xfId="2" applyFont="1" applyBorder="1" applyAlignment="1">
      <alignment horizontal="left" vertical="center" wrapText="1"/>
    </xf>
    <xf numFmtId="49" fontId="23" fillId="0" borderId="0" xfId="2" applyNumberFormat="1" applyFont="1" applyAlignment="1">
      <alignment horizontal="justify"/>
    </xf>
    <xf numFmtId="0" fontId="18" fillId="0" borderId="14" xfId="0" applyFont="1" applyBorder="1" applyAlignment="1">
      <alignment horizontal="left" vertical="center" wrapText="1"/>
    </xf>
    <xf numFmtId="2" fontId="14" fillId="0" borderId="15" xfId="0" applyNumberFormat="1" applyFont="1" applyBorder="1" applyAlignment="1">
      <alignment horizontal="center" vertical="center" wrapText="1"/>
    </xf>
    <xf numFmtId="4" fontId="27" fillId="0" borderId="9" xfId="0" applyNumberFormat="1" applyFont="1" applyBorder="1" applyAlignment="1">
      <alignment horizontal="center" vertical="center" wrapText="1"/>
    </xf>
    <xf numFmtId="4" fontId="28" fillId="0" borderId="15" xfId="0" applyNumberFormat="1" applyFont="1" applyBorder="1" applyAlignment="1">
      <alignment horizontal="center"/>
    </xf>
    <xf numFmtId="4" fontId="29" fillId="0" borderId="15" xfId="0" applyNumberFormat="1" applyFont="1" applyBorder="1" applyAlignment="1">
      <alignment horizontal="center"/>
    </xf>
    <xf numFmtId="4" fontId="30" fillId="0" borderId="15" xfId="0" applyNumberFormat="1" applyFont="1" applyBorder="1" applyAlignment="1">
      <alignment horizontal="center"/>
    </xf>
    <xf numFmtId="4" fontId="28" fillId="0" borderId="15" xfId="0" applyNumberFormat="1" applyFont="1" applyBorder="1" applyAlignment="1">
      <alignment horizontal="center" vertical="center" wrapText="1"/>
    </xf>
    <xf numFmtId="4" fontId="4" fillId="0" borderId="0" xfId="0" applyNumberFormat="1" applyFont="1"/>
    <xf numFmtId="4" fontId="27" fillId="0" borderId="9" xfId="0" applyNumberFormat="1" applyFont="1" applyBorder="1" applyAlignment="1">
      <alignment horizontal="center"/>
    </xf>
    <xf numFmtId="4" fontId="17" fillId="0" borderId="9" xfId="0" applyNumberFormat="1" applyFont="1" applyBorder="1" applyAlignment="1">
      <alignment horizontal="center"/>
    </xf>
    <xf numFmtId="4" fontId="17" fillId="0" borderId="0" xfId="0" applyNumberFormat="1" applyFont="1" applyAlignment="1">
      <alignment horizontal="center"/>
    </xf>
    <xf numFmtId="0" fontId="4" fillId="0" borderId="0" xfId="2" applyFont="1" applyAlignment="1">
      <alignment horizontal="left"/>
    </xf>
    <xf numFmtId="0" fontId="18" fillId="0" borderId="0" xfId="2" applyFont="1" applyAlignment="1">
      <alignment horizontal="left"/>
    </xf>
    <xf numFmtId="0" fontId="18" fillId="2" borderId="0" xfId="0" applyFont="1" applyFill="1"/>
    <xf numFmtId="4" fontId="10" fillId="2" borderId="9" xfId="0" applyNumberFormat="1" applyFont="1" applyFill="1" applyBorder="1" applyAlignment="1">
      <alignment horizontal="center" vertical="center" wrapText="1"/>
    </xf>
    <xf numFmtId="0" fontId="23" fillId="2" borderId="11" xfId="2" applyFont="1" applyFill="1" applyBorder="1" applyAlignment="1">
      <alignment horizontal="left" vertical="center" wrapText="1"/>
    </xf>
    <xf numFmtId="2" fontId="22" fillId="2" borderId="12" xfId="0" applyNumberFormat="1" applyFont="1" applyFill="1" applyBorder="1" applyAlignment="1">
      <alignment horizontal="center" vertical="center" wrapText="1"/>
    </xf>
    <xf numFmtId="4" fontId="24" fillId="0" borderId="24" xfId="3" applyNumberFormat="1" applyFont="1" applyFill="1" applyBorder="1" applyAlignment="1">
      <alignment horizontal="center" vertical="center" wrapText="1"/>
    </xf>
    <xf numFmtId="0" fontId="18" fillId="2" borderId="14" xfId="2" applyFont="1" applyFill="1" applyBorder="1" applyAlignment="1">
      <alignment horizontal="left"/>
    </xf>
    <xf numFmtId="4" fontId="14" fillId="2" borderId="15" xfId="0" applyNumberFormat="1" applyFont="1" applyFill="1" applyBorder="1" applyAlignment="1">
      <alignment horizontal="center"/>
    </xf>
    <xf numFmtId="4" fontId="24" fillId="2" borderId="12" xfId="3" applyNumberFormat="1" applyFont="1" applyFill="1" applyBorder="1" applyAlignment="1">
      <alignment horizontal="center" vertical="center" wrapText="1"/>
    </xf>
    <xf numFmtId="0" fontId="21" fillId="2" borderId="14" xfId="2" applyFont="1" applyFill="1" applyBorder="1" applyAlignment="1">
      <alignment horizontal="left"/>
    </xf>
    <xf numFmtId="4" fontId="17" fillId="2" borderId="15" xfId="0" applyNumberFormat="1" applyFont="1" applyFill="1" applyBorder="1" applyAlignment="1">
      <alignment horizontal="center"/>
    </xf>
    <xf numFmtId="4" fontId="13" fillId="2" borderId="15" xfId="0" applyNumberFormat="1" applyFont="1" applyFill="1" applyBorder="1" applyAlignment="1">
      <alignment horizontal="center"/>
    </xf>
    <xf numFmtId="165" fontId="23" fillId="0" borderId="0" xfId="0" applyNumberFormat="1" applyFont="1"/>
    <xf numFmtId="0" fontId="23" fillId="0" borderId="0" xfId="0" applyFont="1"/>
    <xf numFmtId="49" fontId="18" fillId="2" borderId="14" xfId="2" applyNumberFormat="1" applyFont="1" applyFill="1" applyBorder="1" applyAlignment="1">
      <alignment horizontal="left" wrapText="1"/>
    </xf>
    <xf numFmtId="4" fontId="24" fillId="2" borderId="16" xfId="3" applyNumberFormat="1" applyFont="1" applyFill="1" applyBorder="1" applyAlignment="1">
      <alignment horizontal="center" vertical="center" wrapText="1"/>
    </xf>
    <xf numFmtId="49" fontId="18" fillId="2" borderId="14" xfId="2" applyNumberFormat="1" applyFont="1" applyFill="1" applyBorder="1" applyAlignment="1">
      <alignment horizontal="left"/>
    </xf>
    <xf numFmtId="0" fontId="18" fillId="2" borderId="15" xfId="0" applyFont="1" applyFill="1" applyBorder="1" applyAlignment="1">
      <alignment horizontal="left" vertical="center" wrapText="1"/>
    </xf>
    <xf numFmtId="4" fontId="24" fillId="0" borderId="15" xfId="0" applyNumberFormat="1" applyFont="1" applyBorder="1" applyAlignment="1">
      <alignment horizontal="center" vertical="center" wrapText="1"/>
    </xf>
    <xf numFmtId="3" fontId="24" fillId="0" borderId="12" xfId="3" applyNumberFormat="1" applyFont="1" applyFill="1" applyBorder="1" applyAlignment="1">
      <alignment horizontal="center" vertical="center" wrapText="1"/>
    </xf>
    <xf numFmtId="4" fontId="24" fillId="3" borderId="15" xfId="0" applyNumberFormat="1" applyFont="1" applyFill="1" applyBorder="1" applyAlignment="1">
      <alignment horizontal="center" vertical="center" wrapText="1"/>
    </xf>
    <xf numFmtId="49" fontId="23" fillId="2" borderId="14" xfId="2" applyNumberFormat="1" applyFont="1" applyFill="1" applyBorder="1" applyAlignment="1">
      <alignment horizontal="left" wrapText="1"/>
    </xf>
    <xf numFmtId="49" fontId="23" fillId="2" borderId="14" xfId="2" applyNumberFormat="1" applyFont="1" applyFill="1" applyBorder="1" applyAlignment="1">
      <alignment horizontal="left" vertical="center" wrapText="1"/>
    </xf>
    <xf numFmtId="49" fontId="18" fillId="2" borderId="14" xfId="1" applyNumberFormat="1" applyFont="1" applyFill="1" applyBorder="1"/>
    <xf numFmtId="49" fontId="18" fillId="2" borderId="14" xfId="0" applyNumberFormat="1" applyFont="1" applyFill="1" applyBorder="1"/>
    <xf numFmtId="49" fontId="23" fillId="2" borderId="14" xfId="2" applyNumberFormat="1" applyFont="1" applyFill="1" applyBorder="1" applyAlignment="1">
      <alignment horizontal="left"/>
    </xf>
    <xf numFmtId="49" fontId="18" fillId="2" borderId="14" xfId="2" applyNumberFormat="1" applyFont="1" applyFill="1" applyBorder="1" applyAlignment="1">
      <alignment horizontal="justify"/>
    </xf>
    <xf numFmtId="49" fontId="23" fillId="2" borderId="14" xfId="2" applyNumberFormat="1" applyFont="1" applyFill="1" applyBorder="1" applyAlignment="1">
      <alignment horizontal="justify"/>
    </xf>
    <xf numFmtId="49" fontId="18" fillId="2" borderId="19" xfId="2" applyNumberFormat="1" applyFont="1" applyFill="1" applyBorder="1"/>
    <xf numFmtId="4" fontId="14" fillId="2" borderId="18" xfId="0" applyNumberFormat="1" applyFont="1" applyFill="1" applyBorder="1" applyAlignment="1">
      <alignment horizontal="center"/>
    </xf>
    <xf numFmtId="4" fontId="13" fillId="2" borderId="9" xfId="0" applyNumberFormat="1" applyFont="1" applyFill="1" applyBorder="1" applyAlignment="1">
      <alignment horizontal="center"/>
    </xf>
    <xf numFmtId="49" fontId="23" fillId="2" borderId="9" xfId="2" applyNumberFormat="1" applyFont="1" applyFill="1" applyBorder="1" applyAlignment="1">
      <alignment horizontal="justify"/>
    </xf>
    <xf numFmtId="49" fontId="23" fillId="2" borderId="6" xfId="2" applyNumberFormat="1" applyFont="1" applyFill="1" applyBorder="1" applyAlignment="1">
      <alignment horizontal="justify"/>
    </xf>
    <xf numFmtId="0" fontId="18" fillId="0" borderId="0" xfId="0" applyFont="1" applyAlignment="1">
      <alignment horizontal="left"/>
    </xf>
    <xf numFmtId="4" fontId="24" fillId="2" borderId="15" xfId="3" applyNumberFormat="1" applyFont="1" applyFill="1" applyBorder="1" applyAlignment="1">
      <alignment horizontal="center" vertical="center" wrapText="1"/>
    </xf>
    <xf numFmtId="4" fontId="18" fillId="0" borderId="15" xfId="0" applyNumberFormat="1" applyFont="1" applyBorder="1" applyAlignment="1">
      <alignment horizontal="center"/>
    </xf>
    <xf numFmtId="4" fontId="24" fillId="2" borderId="18" xfId="3" applyNumberFormat="1" applyFont="1" applyFill="1" applyBorder="1" applyAlignment="1">
      <alignment horizontal="center" vertical="center" wrapText="1"/>
    </xf>
    <xf numFmtId="4" fontId="24" fillId="2" borderId="15" xfId="0" applyNumberFormat="1" applyFont="1" applyFill="1" applyBorder="1" applyAlignment="1">
      <alignment horizontal="center" vertical="center" wrapText="1"/>
    </xf>
    <xf numFmtId="3" fontId="24" fillId="2" borderId="16" xfId="3" applyNumberFormat="1" applyFont="1" applyFill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33" fillId="0" borderId="0" xfId="2" applyFont="1"/>
    <xf numFmtId="0" fontId="18" fillId="2" borderId="25" xfId="0" applyFont="1" applyFill="1" applyBorder="1" applyAlignment="1">
      <alignment horizontal="left"/>
    </xf>
    <xf numFmtId="166" fontId="18" fillId="2" borderId="25" xfId="5" applyFont="1" applyFill="1" applyBorder="1" applyAlignment="1">
      <alignment horizontal="center"/>
    </xf>
    <xf numFmtId="4" fontId="14" fillId="3" borderId="15" xfId="0" applyNumberFormat="1" applyFont="1" applyFill="1" applyBorder="1" applyAlignment="1">
      <alignment horizontal="center"/>
    </xf>
    <xf numFmtId="0" fontId="18" fillId="0" borderId="25" xfId="0" applyFont="1" applyBorder="1" applyAlignment="1">
      <alignment horizontal="left"/>
    </xf>
    <xf numFmtId="0" fontId="37" fillId="0" borderId="25" xfId="0" applyFont="1" applyBorder="1" applyAlignment="1">
      <alignment horizontal="left"/>
    </xf>
    <xf numFmtId="49" fontId="18" fillId="0" borderId="14" xfId="0" applyNumberFormat="1" applyFont="1" applyBorder="1"/>
    <xf numFmtId="4" fontId="38" fillId="0" borderId="15" xfId="0" applyNumberFormat="1" applyFont="1" applyBorder="1" applyAlignment="1">
      <alignment horizontal="center" vertical="center" wrapText="1"/>
    </xf>
    <xf numFmtId="4" fontId="10" fillId="0" borderId="9" xfId="0" applyNumberFormat="1" applyFont="1" applyBorder="1" applyAlignment="1">
      <alignment horizontal="center" vertical="center" wrapText="1"/>
    </xf>
    <xf numFmtId="4" fontId="18" fillId="0" borderId="3" xfId="0" applyNumberFormat="1" applyFont="1" applyBorder="1"/>
    <xf numFmtId="4" fontId="6" fillId="0" borderId="0" xfId="0" applyNumberFormat="1" applyFont="1"/>
    <xf numFmtId="0" fontId="0" fillId="0" borderId="25" xfId="0" applyBorder="1"/>
    <xf numFmtId="164" fontId="0" fillId="0" borderId="25" xfId="4" applyFont="1" applyBorder="1" applyAlignment="1">
      <alignment horizontal="center" vertical="center" wrapText="1"/>
    </xf>
    <xf numFmtId="4" fontId="17" fillId="0" borderId="9" xfId="0" applyNumberFormat="1" applyFont="1" applyBorder="1" applyAlignment="1">
      <alignment horizontal="center" vertical="center" wrapText="1"/>
    </xf>
    <xf numFmtId="0" fontId="21" fillId="0" borderId="0" xfId="2" applyFont="1"/>
    <xf numFmtId="0" fontId="36" fillId="0" borderId="0" xfId="0" applyFont="1"/>
    <xf numFmtId="0" fontId="37" fillId="0" borderId="25" xfId="0" applyFont="1" applyBorder="1" applyAlignment="1">
      <alignment vertical="top" wrapText="1"/>
    </xf>
    <xf numFmtId="166" fontId="37" fillId="0" borderId="25" xfId="5" applyFont="1" applyFill="1" applyBorder="1" applyAlignment="1">
      <alignment vertical="top"/>
    </xf>
    <xf numFmtId="2" fontId="37" fillId="0" borderId="25" xfId="5" applyNumberFormat="1" applyFont="1" applyFill="1" applyBorder="1" applyAlignment="1">
      <alignment horizontal="center"/>
    </xf>
    <xf numFmtId="166" fontId="37" fillId="0" borderId="25" xfId="5" applyFont="1" applyFill="1" applyBorder="1" applyAlignment="1">
      <alignment horizontal="center"/>
    </xf>
    <xf numFmtId="4" fontId="31" fillId="0" borderId="9" xfId="5" applyNumberFormat="1" applyFont="1" applyFill="1" applyBorder="1" applyAlignment="1">
      <alignment horizontal="center" vertical="center" wrapText="1"/>
    </xf>
    <xf numFmtId="164" fontId="0" fillId="0" borderId="25" xfId="4" applyFont="1" applyFill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18" fillId="0" borderId="0" xfId="2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2" applyFont="1" applyAlignment="1">
      <alignment horizontal="center" wrapText="1"/>
    </xf>
    <xf numFmtId="0" fontId="20" fillId="0" borderId="0" xfId="2" applyFont="1" applyAlignment="1">
      <alignment horizontal="center" wrapText="1"/>
    </xf>
    <xf numFmtId="0" fontId="3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9" fillId="0" borderId="1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1" fillId="0" borderId="7" xfId="0" applyNumberFormat="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2" fontId="22" fillId="0" borderId="4" xfId="0" applyNumberFormat="1" applyFont="1" applyBorder="1" applyAlignment="1">
      <alignment horizontal="center" vertical="center" wrapText="1"/>
    </xf>
    <xf numFmtId="2" fontId="22" fillId="0" borderId="8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0" fillId="0" borderId="1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2" fontId="22" fillId="0" borderId="3" xfId="0" applyNumberFormat="1" applyFont="1" applyBorder="1" applyAlignment="1">
      <alignment horizontal="center" vertical="center" wrapText="1"/>
    </xf>
    <xf numFmtId="2" fontId="22" fillId="0" borderId="7" xfId="0" applyNumberFormat="1" applyFont="1" applyBorder="1" applyAlignment="1">
      <alignment horizontal="center" vertical="center" wrapText="1"/>
    </xf>
    <xf numFmtId="0" fontId="18" fillId="2" borderId="0" xfId="2" applyFont="1" applyFill="1" applyAlignment="1">
      <alignment horizontal="left"/>
    </xf>
  </cellXfs>
  <cellStyles count="6">
    <cellStyle name="Обычный" xfId="0" builtinId="0"/>
    <cellStyle name="Обычный_197.2" xfId="2" xr:uid="{00000000-0005-0000-0000-000001000000}"/>
    <cellStyle name="Процентный" xfId="1" builtinId="5"/>
    <cellStyle name="Финансовый" xfId="4" builtinId="3"/>
    <cellStyle name="Финансовый 2" xfId="3" xr:uid="{00000000-0005-0000-0000-000004000000}"/>
    <cellStyle name="Финансовый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87;&#1072;&#1087;&#1082;&#1072;%20&#1086;&#1073;&#1084;&#1077;&#1085;&#1072;\Users\econ\Desktop\9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&#1054;&#1090;&#1095;&#1077;&#1090;&#1099;%20&#1087;&#1086;%20&#1046;&#1069;&#1059;%2034%20202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3.%20&#1054;&#1090;&#1095;&#1077;&#1090;&#1099;%20&#1087;&#1086;%20&#1046;&#1069;&#1059;%2034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p1-pc\&#1086;&#1073;&#1097;&#1072;&#1103;%20&#1087;&#1072;&#1087;&#1082;&#1072;\&#1055;&#1051;&#1040;&#1053;&#1054;&#1042;&#1054;-&#1069;&#1050;&#1054;&#1053;&#1054;&#1052;&#1048;&#1063;&#1045;&#1057;&#1050;&#1048;&#1049;%20&#1054;&#1058;&#1044;&#1045;&#1051;\12.%20&#1054;&#1090;&#1095;&#1077;&#1090;&#1099;%20&#1052;&#1050;&#1044;\2023\4.%2063%20&#1075;&#1086;&#1090;&#1086;&#1074;&#1099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1 тарифы"/>
      <sheetName val="91ОЭР"/>
      <sheetName val="91Лист1"/>
      <sheetName val="91СВОД"/>
      <sheetName val="63тарифы"/>
      <sheetName val="63СВОД"/>
      <sheetName val="34ОЭР"/>
      <sheetName val="34СВОД"/>
      <sheetName val="34тарифы"/>
      <sheetName val="32тарифы"/>
      <sheetName val="32СВОД"/>
      <sheetName val="32 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63">
          <cell r="D163">
            <v>5.3054651733843157</v>
          </cell>
        </row>
        <row r="167">
          <cell r="D167">
            <v>6.0937448826080827</v>
          </cell>
        </row>
        <row r="177">
          <cell r="D177">
            <v>186.91588785046727</v>
          </cell>
        </row>
        <row r="184">
          <cell r="D184">
            <v>0</v>
          </cell>
        </row>
        <row r="186">
          <cell r="D186">
            <v>0.91029169899927276</v>
          </cell>
        </row>
        <row r="187">
          <cell r="D187">
            <v>0.67860601054915659</v>
          </cell>
        </row>
      </sheetData>
      <sheetData sheetId="5" refreshError="1"/>
      <sheetData sheetId="6" refreshError="1">
        <row r="24">
          <cell r="D24">
            <v>46852.216313061894</v>
          </cell>
        </row>
        <row r="35">
          <cell r="D35">
            <v>38891.077021264617</v>
          </cell>
        </row>
        <row r="39">
          <cell r="D39">
            <v>41084.948230683556</v>
          </cell>
        </row>
        <row r="47">
          <cell r="D47">
            <v>19325.513700698724</v>
          </cell>
        </row>
        <row r="56">
          <cell r="D56">
            <v>56293.155160242852</v>
          </cell>
        </row>
        <row r="71">
          <cell r="D71">
            <v>56232.383104580273</v>
          </cell>
        </row>
        <row r="78">
          <cell r="D78">
            <v>3062.9116053937596</v>
          </cell>
        </row>
        <row r="79">
          <cell r="D79">
            <v>5034.964811644305</v>
          </cell>
        </row>
        <row r="80">
          <cell r="D80">
            <v>2892.7498495385512</v>
          </cell>
        </row>
        <row r="81">
          <cell r="D81">
            <v>5761.190876812072</v>
          </cell>
        </row>
        <row r="118">
          <cell r="D118">
            <v>19592.910745614052</v>
          </cell>
        </row>
        <row r="141">
          <cell r="D141">
            <v>36046.944816256124</v>
          </cell>
        </row>
        <row r="173">
          <cell r="D173">
            <v>16144.096586762942</v>
          </cell>
        </row>
        <row r="175">
          <cell r="D175">
            <v>20537.916211167085</v>
          </cell>
        </row>
        <row r="177">
          <cell r="D177">
            <v>20003.12212133643</v>
          </cell>
        </row>
        <row r="179">
          <cell r="D179">
            <v>20419.410702625068</v>
          </cell>
        </row>
        <row r="184">
          <cell r="D184">
            <v>20009.199326902686</v>
          </cell>
        </row>
        <row r="199">
          <cell r="D199">
            <v>53400.405310704307</v>
          </cell>
        </row>
        <row r="200">
          <cell r="D200">
            <v>12482.580233092824</v>
          </cell>
        </row>
        <row r="223">
          <cell r="D223">
            <v>16982.750954906471</v>
          </cell>
        </row>
        <row r="225">
          <cell r="D225">
            <v>24594.450926643942</v>
          </cell>
        </row>
        <row r="226">
          <cell r="D226">
            <v>27174.224689520233</v>
          </cell>
        </row>
        <row r="228">
          <cell r="D228">
            <v>39757.078814456305</v>
          </cell>
        </row>
        <row r="232">
          <cell r="D232">
            <v>37824.527444386433</v>
          </cell>
        </row>
        <row r="233">
          <cell r="D233">
            <v>11172.94243356434</v>
          </cell>
        </row>
        <row r="235">
          <cell r="D235">
            <v>21704.739679888517</v>
          </cell>
        </row>
        <row r="240">
          <cell r="D240">
            <v>27244.112553532195</v>
          </cell>
        </row>
        <row r="241">
          <cell r="D241">
            <v>12397.499355165219</v>
          </cell>
        </row>
        <row r="248">
          <cell r="D248">
            <v>41464.773578574648</v>
          </cell>
        </row>
      </sheetData>
      <sheetData sheetId="7" refreshError="1"/>
      <sheetData sheetId="8" refreshError="1">
        <row r="163">
          <cell r="D163">
            <v>5.3054651733843157</v>
          </cell>
        </row>
        <row r="167">
          <cell r="D167">
            <v>6.0937448826080827</v>
          </cell>
        </row>
        <row r="173">
          <cell r="D173">
            <v>1.9626785508615805</v>
          </cell>
        </row>
        <row r="177">
          <cell r="D177">
            <v>186.91588785046727</v>
          </cell>
        </row>
        <row r="184">
          <cell r="D184">
            <v>0</v>
          </cell>
        </row>
        <row r="186">
          <cell r="D186">
            <v>0.91029169899927276</v>
          </cell>
        </row>
        <row r="187">
          <cell r="D187">
            <v>0.67860601054915659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арифы"/>
      <sheetName val="Центр 34"/>
      <sheetName val="Центр 30"/>
      <sheetName val="Центр 28"/>
      <sheetName val="Центр 22-а"/>
      <sheetName val="Центр 22"/>
      <sheetName val="Центр 18-1"/>
      <sheetName val="Центр 16"/>
      <sheetName val="Центр 14-а"/>
      <sheetName val="Центр 14"/>
      <sheetName val="Центр 12-а"/>
      <sheetName val="Центр 12"/>
      <sheetName val="Центр 10"/>
      <sheetName val="Центр 8"/>
      <sheetName val="Центр 6-1"/>
      <sheetName val="Центр 6"/>
      <sheetName val="Центр 4-а"/>
      <sheetName val="Центр 4"/>
      <sheetName val="Центр 2"/>
      <sheetName val="Центр 1-2"/>
      <sheetName val="Ухт 13"/>
      <sheetName val="Ухт 5"/>
      <sheetName val="Тал 28-1"/>
      <sheetName val="Тал 28"/>
      <sheetName val="Тал 26-1"/>
      <sheetName val="Тал 26"/>
      <sheetName val="Тал 24-1"/>
      <sheetName val="Тал 24"/>
      <sheetName val="Тал 22"/>
      <sheetName val="Тал 20"/>
      <sheetName val="Тал 18"/>
      <sheetName val="Тал 16"/>
      <sheetName val="Тал 14"/>
      <sheetName val="Тал 7"/>
      <sheetName val="Тал 6"/>
      <sheetName val="Тал 4"/>
      <sheetName val="Тал 3-б"/>
      <sheetName val="Тал 3-а"/>
      <sheetName val="Тал 3-1"/>
      <sheetName val="Тал 2-1"/>
      <sheetName val="Ряд 7-1"/>
      <sheetName val="Ряд 7"/>
      <sheetName val="Ряд 5-1"/>
      <sheetName val="Ряд 5"/>
      <sheetName val="Ряд 3-1"/>
      <sheetName val="Ряд 3"/>
      <sheetName val="Ряд 2"/>
      <sheetName val="Пр 15"/>
      <sheetName val="Пр 13"/>
      <sheetName val="Пр 12"/>
      <sheetName val="Пр 11"/>
      <sheetName val="Пр 10-а"/>
      <sheetName val="Пр 10"/>
      <sheetName val="Пр 8-1"/>
      <sheetName val="Пр 8-а"/>
      <sheetName val="Пр 8"/>
      <sheetName val="Пр 6а"/>
      <sheetName val="Пр 6"/>
      <sheetName val="Пр 4-1"/>
      <sheetName val="Пр 4"/>
      <sheetName val="Пр 3"/>
      <sheetName val="Пр 2"/>
      <sheetName val="Пр 1"/>
      <sheetName val="М.Дж 10"/>
      <sheetName val="М.Дж 8"/>
      <sheetName val="М.Дж 6"/>
      <sheetName val="М.Дж 4"/>
      <sheetName val="Лок 26"/>
      <sheetName val="Лок 6"/>
      <sheetName val="Лок 4"/>
      <sheetName val="Лок 2"/>
      <sheetName val="Лев 23"/>
      <sheetName val="Лев 21а"/>
      <sheetName val="Лев 21"/>
      <sheetName val="Лев 20"/>
      <sheetName val="Лев 19"/>
      <sheetName val="Лев 17"/>
      <sheetName val="Лев 15"/>
      <sheetName val="Лев 14-3"/>
      <sheetName val="Лев 14-2"/>
      <sheetName val="Лев 14-1"/>
      <sheetName val="Лев 13"/>
      <sheetName val="Лев 9а"/>
      <sheetName val="Лев 9"/>
      <sheetName val="Лев 7а"/>
      <sheetName val="Лев 7"/>
      <sheetName val="Лев 5"/>
      <sheetName val="Лев 3"/>
      <sheetName val="Даг 13"/>
      <sheetName val="Даг 11"/>
      <sheetName val="Даг 9-1"/>
      <sheetName val="Даг 9"/>
      <sheetName val="Даг 7"/>
      <sheetName val="Даг 5"/>
      <sheetName val="СВОД"/>
      <sheetName val="Даг 5 (испр)"/>
    </sheetNames>
    <sheetDataSet>
      <sheetData sheetId="0" refreshError="1">
        <row r="164">
          <cell r="D164">
            <v>2.5773611043992335</v>
          </cell>
        </row>
        <row r="167">
          <cell r="D167">
            <v>13.365458336356349</v>
          </cell>
        </row>
        <row r="177">
          <cell r="D177">
            <v>70.09345794392523</v>
          </cell>
        </row>
        <row r="186">
          <cell r="D186">
            <v>1.7330380612119383</v>
          </cell>
        </row>
        <row r="187">
          <cell r="D187">
            <v>1.2677929441080622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Центр 34"/>
      <sheetName val="Центр 30"/>
      <sheetName val="Центр 28"/>
      <sheetName val="Центр 22-а"/>
      <sheetName val="Центр 22"/>
      <sheetName val="Центр 18-1"/>
      <sheetName val="Центр 16"/>
      <sheetName val="Центр 14-а"/>
      <sheetName val="Центр 14"/>
      <sheetName val="Центр 12-а"/>
      <sheetName val="Центр 12"/>
      <sheetName val="Центр 10"/>
      <sheetName val="Центр 8"/>
      <sheetName val="Центр 6-1"/>
      <sheetName val="Центр 6"/>
      <sheetName val="Центр 4-а"/>
      <sheetName val="Центр 4"/>
      <sheetName val="Центр 2"/>
      <sheetName val="Центр 1-2"/>
      <sheetName val="-Ухт 13"/>
      <sheetName val="Ухт 5"/>
      <sheetName val="Тал 28-1"/>
      <sheetName val="Тал 28"/>
      <sheetName val="Тал 26-1"/>
      <sheetName val="Тал 26"/>
      <sheetName val="Тал 24-1"/>
      <sheetName val="Тал 24"/>
      <sheetName val="Тал 22"/>
      <sheetName val="Тал 20"/>
      <sheetName val="Тал 18"/>
      <sheetName val="Тал 16"/>
      <sheetName val="Тал 14"/>
      <sheetName val="Тал 7"/>
      <sheetName val="Тал 6"/>
      <sheetName val="Тал 4"/>
      <sheetName val="Тал 3-б"/>
      <sheetName val="Тал 3-а"/>
      <sheetName val="Тал 3-1"/>
      <sheetName val="Тал 2-1"/>
      <sheetName val="Ряд 7-1"/>
      <sheetName val="Ряд 7"/>
      <sheetName val="Ряд 5-1"/>
      <sheetName val="Ряд 5"/>
      <sheetName val="Ряд 3-1"/>
      <sheetName val="Ряд 3"/>
      <sheetName val="Ряд 2"/>
      <sheetName val="Пр 15"/>
      <sheetName val="Пр 13"/>
      <sheetName val="Пр 12"/>
      <sheetName val="Пр 11"/>
      <sheetName val="Пр 10-а"/>
      <sheetName val="Пр 10"/>
      <sheetName val="Пр 8-1"/>
      <sheetName val="Пр 8-а"/>
      <sheetName val="Пр 8"/>
      <sheetName val="Пр 6а"/>
      <sheetName val="Пр 6"/>
      <sheetName val="Пр 4-1"/>
      <sheetName val="Пр 4"/>
      <sheetName val="Пр 3"/>
      <sheetName val="Пр 2"/>
      <sheetName val="Пр 1"/>
      <sheetName val="М.Дж 10"/>
      <sheetName val="М.Дж 8"/>
      <sheetName val="М.Дж 6"/>
      <sheetName val="М.Дж 4"/>
      <sheetName val="Лок 26"/>
      <sheetName val="Лок 6"/>
      <sheetName val="Лок 4"/>
      <sheetName val="Лок 2"/>
      <sheetName val="Лев 23"/>
      <sheetName val="Лев 21а"/>
      <sheetName val="Лев 21"/>
      <sheetName val="Лев 20"/>
      <sheetName val="Лев 19"/>
      <sheetName val="Лев 17"/>
      <sheetName val="Лев 15"/>
      <sheetName val="Лев 14-3"/>
      <sheetName val="Лев 14-2"/>
      <sheetName val="Лев 14-1"/>
      <sheetName val="Лев 13"/>
      <sheetName val="Лев 9а"/>
      <sheetName val="Лев 9"/>
      <sheetName val="Лев 7а"/>
      <sheetName val="Лев 7"/>
      <sheetName val="Лев 5"/>
      <sheetName val="Лев 3"/>
      <sheetName val="Даг 13"/>
      <sheetName val="Даг 11"/>
      <sheetName val="Даг 9-1"/>
      <sheetName val="Даг 9"/>
      <sheetName val="Даг 7"/>
      <sheetName val="Даг 5"/>
    </sheetNames>
    <sheetDataSet>
      <sheetData sheetId="0">
        <row r="1">
          <cell r="T1" t="str">
            <v>коэффициент</v>
          </cell>
        </row>
        <row r="2">
          <cell r="S2" t="str">
            <v xml:space="preserve"> - услуги объединенной диспетчерской службы (ОДС)</v>
          </cell>
          <cell r="T2">
            <v>4.6249048341643242</v>
          </cell>
        </row>
        <row r="3">
          <cell r="S3" t="str">
            <v xml:space="preserve"> - услуги аварийной  службы (АДС)</v>
          </cell>
          <cell r="T3">
            <v>16.144712120762971</v>
          </cell>
        </row>
        <row r="5">
          <cell r="T5" t="str">
            <v>*умнож. На 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Юмат.2б"/>
      <sheetName val="Ухт.30-2"/>
      <sheetName val="Ухт.30"/>
      <sheetName val="Ухт.28"/>
      <sheetName val="Ухт.26-2"/>
      <sheetName val="Ухт.26"/>
      <sheetName val="Ухт.24"/>
      <sheetName val="Ухт.23"/>
      <sheetName val="Ухт.22"/>
      <sheetName val="Ухт.21"/>
      <sheetName val="Ухт.20"/>
      <sheetName val="Ухт.16"/>
      <sheetName val="-Ухт.14"/>
      <sheetName val="Ухт.12"/>
      <sheetName val="Ухт 11"/>
      <sheetName val="Ухт.10 ужх"/>
      <sheetName val="Ухт.10 ук"/>
      <sheetName val="Тур.2б"/>
      <sheetName val="Тур.2а"/>
      <sheetName val="Пр 23"/>
      <sheetName val="Пр 21"/>
      <sheetName val="Остр.18-1"/>
      <sheetName val="-Остр.18"/>
      <sheetName val="Остр.16-1"/>
      <sheetName val="М.Дж. 74-3"/>
      <sheetName val="-М.Дж. 74-2"/>
      <sheetName val="М.Дж. 74-1"/>
      <sheetName val="М.Дж. 74"/>
      <sheetName val="М.Дж. 72-1"/>
      <sheetName val="М.Дж. 68-1"/>
      <sheetName val="М.Дж. 68"/>
      <sheetName val="М.Дж. 66"/>
      <sheetName val="М.Дж. 64"/>
      <sheetName val="Маг.36"/>
      <sheetName val="-Маг.27-2"/>
      <sheetName val="-Маг.27-1"/>
      <sheetName val="Маг.27"/>
      <sheetName val="Маг.20-1"/>
      <sheetName val="Маг.17"/>
      <sheetName val="Маг.12-1"/>
      <sheetName val="-Маг.12"/>
      <sheetName val="Маг.11 а"/>
      <sheetName val="Маг.11"/>
      <sheetName val="Маг.9 а"/>
      <sheetName val="Маг.9"/>
      <sheetName val="Маг.7а"/>
      <sheetName val="Маг.7"/>
      <sheetName val="Лев 8"/>
      <sheetName val="Аург.8"/>
      <sheetName val="Альш.32а"/>
      <sheetName val="Альш.20а "/>
      <sheetName val="Альш.15"/>
      <sheetName val="Альш.14а "/>
      <sheetName val="Альш.14"/>
      <sheetName val="Альш.12а"/>
      <sheetName val="Альш.12"/>
      <sheetName val="Альш.10"/>
      <sheetName val="Цен 1"/>
      <sheetName val="Цен 3"/>
    </sheetNames>
    <sheetDataSet>
      <sheetData sheetId="0">
        <row r="1">
          <cell r="T1" t="str">
            <v>коэффициент</v>
          </cell>
        </row>
        <row r="2">
          <cell r="S2" t="str">
            <v xml:space="preserve"> - услуги объединенной диспетчерской службы (ОДС)</v>
          </cell>
          <cell r="T2">
            <v>4.6249048341643242</v>
          </cell>
        </row>
        <row r="3">
          <cell r="S3" t="str">
            <v xml:space="preserve"> - услуги аварийной  службы (АДС)</v>
          </cell>
          <cell r="T3">
            <v>16.144712120762971</v>
          </cell>
        </row>
        <row r="5">
          <cell r="T5" t="str">
            <v>*умнож. На 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K3:M221"/>
  <sheetViews>
    <sheetView workbookViewId="0">
      <selection activeCell="C65" sqref="C65"/>
    </sheetView>
  </sheetViews>
  <sheetFormatPr defaultRowHeight="15" x14ac:dyDescent="0.25"/>
  <cols>
    <col min="1" max="1" width="89.5703125" customWidth="1"/>
    <col min="11" max="11" width="26.5703125" customWidth="1"/>
    <col min="12" max="13" width="13.28515625" bestFit="1" customWidth="1"/>
  </cols>
  <sheetData>
    <row r="3" spans="11:13" hidden="1" x14ac:dyDescent="0.25">
      <c r="K3" s="179" t="s">
        <v>194</v>
      </c>
      <c r="L3" s="189">
        <v>298448.82</v>
      </c>
      <c r="M3" s="189">
        <v>285632.84999999998</v>
      </c>
    </row>
    <row r="4" spans="11:13" hidden="1" x14ac:dyDescent="0.25">
      <c r="K4" s="179" t="s">
        <v>195</v>
      </c>
      <c r="L4" s="189">
        <v>343591.8</v>
      </c>
      <c r="M4" s="189">
        <v>324917.26</v>
      </c>
    </row>
    <row r="5" spans="11:13" hidden="1" x14ac:dyDescent="0.25">
      <c r="K5" s="179" t="s">
        <v>196</v>
      </c>
      <c r="L5" s="189">
        <v>485363.88</v>
      </c>
      <c r="M5" s="189">
        <v>502678.25</v>
      </c>
    </row>
    <row r="6" spans="11:13" hidden="1" x14ac:dyDescent="0.25">
      <c r="K6" s="179" t="s">
        <v>197</v>
      </c>
      <c r="L6" s="189">
        <v>156553.16</v>
      </c>
      <c r="M6" s="189">
        <v>74052.460000000006</v>
      </c>
    </row>
    <row r="7" spans="11:13" hidden="1" x14ac:dyDescent="0.25">
      <c r="K7" s="179" t="s">
        <v>198</v>
      </c>
      <c r="L7" s="189">
        <v>69593.600000000006</v>
      </c>
      <c r="M7" s="189">
        <v>60019.85</v>
      </c>
    </row>
    <row r="8" spans="11:13" x14ac:dyDescent="0.25">
      <c r="K8" s="179" t="s">
        <v>199</v>
      </c>
      <c r="L8" s="189">
        <v>24714.560000000001</v>
      </c>
      <c r="M8" s="189">
        <v>24714.560000000001</v>
      </c>
    </row>
    <row r="9" spans="11:13" hidden="1" x14ac:dyDescent="0.25">
      <c r="K9" s="179" t="s">
        <v>200</v>
      </c>
      <c r="L9" s="189">
        <v>60045.279999999999</v>
      </c>
      <c r="M9" s="189">
        <v>52253.919999999998</v>
      </c>
    </row>
    <row r="10" spans="11:13" x14ac:dyDescent="0.25">
      <c r="K10" s="179" t="s">
        <v>201</v>
      </c>
      <c r="L10" s="189">
        <v>21617.439999999999</v>
      </c>
      <c r="M10" s="189">
        <v>21186.74</v>
      </c>
    </row>
    <row r="11" spans="11:13" hidden="1" x14ac:dyDescent="0.25">
      <c r="K11" s="179" t="s">
        <v>202</v>
      </c>
      <c r="L11" s="180">
        <v>31041.46</v>
      </c>
      <c r="M11" s="180">
        <v>29130.400000000001</v>
      </c>
    </row>
    <row r="12" spans="11:13" x14ac:dyDescent="0.25">
      <c r="K12" s="179" t="s">
        <v>203</v>
      </c>
      <c r="L12" s="189">
        <v>22288.32</v>
      </c>
      <c r="M12" s="189">
        <v>16737.98</v>
      </c>
    </row>
    <row r="13" spans="11:13" hidden="1" x14ac:dyDescent="0.25">
      <c r="K13" s="179" t="s">
        <v>204</v>
      </c>
      <c r="L13" s="180">
        <v>44108.32</v>
      </c>
      <c r="M13" s="180">
        <v>38273.360000000001</v>
      </c>
    </row>
    <row r="14" spans="11:13" hidden="1" x14ac:dyDescent="0.25">
      <c r="K14" s="179" t="s">
        <v>205</v>
      </c>
      <c r="L14" s="180">
        <v>72290.77</v>
      </c>
      <c r="M14" s="180">
        <v>62750.1</v>
      </c>
    </row>
    <row r="15" spans="11:13" hidden="1" x14ac:dyDescent="0.25">
      <c r="K15" s="179" t="s">
        <v>206</v>
      </c>
      <c r="L15" s="189">
        <v>35942.9</v>
      </c>
      <c r="M15" s="189">
        <v>31380.160000000003</v>
      </c>
    </row>
    <row r="16" spans="11:13" hidden="1" x14ac:dyDescent="0.25">
      <c r="K16" s="179" t="s">
        <v>207</v>
      </c>
      <c r="L16" s="189">
        <v>62948.24</v>
      </c>
      <c r="M16" s="189">
        <v>56188.78</v>
      </c>
    </row>
    <row r="17" spans="11:13" hidden="1" x14ac:dyDescent="0.25">
      <c r="K17" s="179" t="s">
        <v>208</v>
      </c>
      <c r="L17" s="180">
        <v>31899.599999999999</v>
      </c>
      <c r="M17" s="180">
        <v>27136.61</v>
      </c>
    </row>
    <row r="18" spans="11:13" hidden="1" x14ac:dyDescent="0.25">
      <c r="K18" s="179" t="s">
        <v>209</v>
      </c>
      <c r="L18" s="180">
        <v>144540.38</v>
      </c>
      <c r="M18" s="180">
        <v>130940.05</v>
      </c>
    </row>
    <row r="19" spans="11:13" hidden="1" x14ac:dyDescent="0.25">
      <c r="K19" s="179" t="s">
        <v>210</v>
      </c>
      <c r="L19" s="180">
        <v>2342665.5</v>
      </c>
      <c r="M19" s="180">
        <v>2270483.9499999997</v>
      </c>
    </row>
    <row r="20" spans="11:13" hidden="1" x14ac:dyDescent="0.25">
      <c r="K20" s="179" t="s">
        <v>211</v>
      </c>
      <c r="L20" s="180">
        <v>324557.04000000004</v>
      </c>
      <c r="M20" s="180">
        <v>312994.87</v>
      </c>
    </row>
    <row r="21" spans="11:13" hidden="1" x14ac:dyDescent="0.25">
      <c r="K21" s="179" t="s">
        <v>212</v>
      </c>
      <c r="L21" s="180">
        <v>1671980.6400000001</v>
      </c>
      <c r="M21" s="180">
        <v>1638588.59</v>
      </c>
    </row>
    <row r="22" spans="11:13" hidden="1" x14ac:dyDescent="0.25">
      <c r="K22" s="179" t="s">
        <v>213</v>
      </c>
      <c r="L22" s="180">
        <v>292743.58</v>
      </c>
      <c r="M22" s="180">
        <v>302523.02</v>
      </c>
    </row>
    <row r="23" spans="11:13" hidden="1" x14ac:dyDescent="0.25">
      <c r="K23" s="179" t="s">
        <v>214</v>
      </c>
      <c r="L23" s="189">
        <v>64949.590000000004</v>
      </c>
      <c r="M23" s="189">
        <v>63611.62</v>
      </c>
    </row>
    <row r="24" spans="11:13" hidden="1" x14ac:dyDescent="0.25">
      <c r="K24" s="179" t="s">
        <v>215</v>
      </c>
      <c r="L24" s="189">
        <v>446208.48</v>
      </c>
      <c r="M24" s="189">
        <v>459383.01</v>
      </c>
    </row>
    <row r="25" spans="11:13" hidden="1" x14ac:dyDescent="0.25">
      <c r="K25" s="179" t="s">
        <v>216</v>
      </c>
      <c r="L25" s="189">
        <v>807657.88000000012</v>
      </c>
      <c r="M25" s="189">
        <v>780444.31</v>
      </c>
    </row>
    <row r="26" spans="11:13" hidden="1" x14ac:dyDescent="0.25">
      <c r="K26" s="179" t="s">
        <v>217</v>
      </c>
      <c r="L26" s="189">
        <v>838791.79999999993</v>
      </c>
      <c r="M26" s="189">
        <v>793476.95</v>
      </c>
    </row>
    <row r="27" spans="11:13" hidden="1" x14ac:dyDescent="0.25">
      <c r="K27" s="179" t="s">
        <v>218</v>
      </c>
      <c r="L27" s="189">
        <v>648502.88</v>
      </c>
      <c r="M27" s="189">
        <v>642366.4</v>
      </c>
    </row>
    <row r="28" spans="11:13" hidden="1" x14ac:dyDescent="0.25">
      <c r="K28" s="179" t="s">
        <v>219</v>
      </c>
      <c r="L28" s="189">
        <v>253213.26</v>
      </c>
      <c r="M28" s="189">
        <v>246603.74</v>
      </c>
    </row>
    <row r="29" spans="11:13" hidden="1" x14ac:dyDescent="0.25">
      <c r="K29" s="179" t="s">
        <v>220</v>
      </c>
      <c r="L29" s="180">
        <v>320399.64</v>
      </c>
      <c r="M29" s="180">
        <v>313370.06999999995</v>
      </c>
    </row>
    <row r="30" spans="11:13" hidden="1" x14ac:dyDescent="0.25">
      <c r="K30" s="179" t="s">
        <v>221</v>
      </c>
      <c r="L30" s="189">
        <v>319208.76</v>
      </c>
      <c r="M30" s="189">
        <v>342067.81</v>
      </c>
    </row>
    <row r="31" spans="11:13" hidden="1" x14ac:dyDescent="0.25">
      <c r="K31" s="179" t="s">
        <v>222</v>
      </c>
      <c r="L31" s="189">
        <v>205429.9</v>
      </c>
      <c r="M31" s="189">
        <v>201525.01</v>
      </c>
    </row>
    <row r="32" spans="11:13" hidden="1" x14ac:dyDescent="0.25">
      <c r="K32" s="179" t="s">
        <v>223</v>
      </c>
      <c r="L32" s="189">
        <v>285854.82</v>
      </c>
      <c r="M32" s="189">
        <v>291252.44</v>
      </c>
    </row>
    <row r="33" spans="11:13" hidden="1" x14ac:dyDescent="0.25">
      <c r="K33" s="179" t="s">
        <v>224</v>
      </c>
      <c r="L33" s="180">
        <v>723919.44</v>
      </c>
      <c r="M33" s="180">
        <v>676589.91</v>
      </c>
    </row>
    <row r="34" spans="11:13" hidden="1" x14ac:dyDescent="0.25">
      <c r="K34" s="179" t="s">
        <v>225</v>
      </c>
      <c r="L34" s="180">
        <v>791267.72</v>
      </c>
      <c r="M34" s="180">
        <v>800242.17999999993</v>
      </c>
    </row>
    <row r="35" spans="11:13" hidden="1" x14ac:dyDescent="0.25">
      <c r="K35" s="179" t="s">
        <v>226</v>
      </c>
      <c r="L35" s="189">
        <v>680362.26</v>
      </c>
      <c r="M35" s="189">
        <v>630731.26</v>
      </c>
    </row>
    <row r="36" spans="11:13" hidden="1" x14ac:dyDescent="0.25">
      <c r="K36" s="179" t="s">
        <v>227</v>
      </c>
      <c r="L36" s="189">
        <v>555697.6</v>
      </c>
      <c r="M36" s="189">
        <v>537906.07999999996</v>
      </c>
    </row>
    <row r="37" spans="11:13" hidden="1" x14ac:dyDescent="0.25">
      <c r="K37" s="179" t="s">
        <v>228</v>
      </c>
      <c r="L37" s="180">
        <v>630025.25999999989</v>
      </c>
      <c r="M37" s="180">
        <v>638320.14</v>
      </c>
    </row>
    <row r="38" spans="11:13" hidden="1" x14ac:dyDescent="0.25">
      <c r="K38" s="179" t="s">
        <v>229</v>
      </c>
      <c r="L38" s="180">
        <v>121731.03</v>
      </c>
      <c r="M38" s="180">
        <v>82348.399999999994</v>
      </c>
    </row>
    <row r="39" spans="11:13" hidden="1" x14ac:dyDescent="0.25">
      <c r="K39" s="179" t="s">
        <v>230</v>
      </c>
      <c r="L39" s="180">
        <v>157059.04</v>
      </c>
      <c r="M39" s="180">
        <v>156323.91</v>
      </c>
    </row>
    <row r="40" spans="11:13" hidden="1" x14ac:dyDescent="0.25">
      <c r="K40" s="179" t="s">
        <v>231</v>
      </c>
      <c r="L40" s="180">
        <v>129759.91</v>
      </c>
      <c r="M40" s="180">
        <v>131620.43</v>
      </c>
    </row>
    <row r="41" spans="11:13" hidden="1" x14ac:dyDescent="0.25">
      <c r="K41" s="179" t="s">
        <v>232</v>
      </c>
      <c r="L41" s="180">
        <v>823198.74</v>
      </c>
      <c r="M41" s="180">
        <v>757816.87000000011</v>
      </c>
    </row>
    <row r="42" spans="11:13" hidden="1" x14ac:dyDescent="0.25">
      <c r="K42" s="179" t="s">
        <v>233</v>
      </c>
      <c r="L42" s="189">
        <v>92659.59</v>
      </c>
      <c r="M42" s="189">
        <v>82993.820000000007</v>
      </c>
    </row>
    <row r="43" spans="11:13" x14ac:dyDescent="0.25">
      <c r="K43" s="179" t="s">
        <v>234</v>
      </c>
      <c r="L43" s="189">
        <v>275791.90000000002</v>
      </c>
      <c r="M43" s="189">
        <v>248781.99000000002</v>
      </c>
    </row>
    <row r="44" spans="11:13" hidden="1" x14ac:dyDescent="0.25">
      <c r="K44" s="179" t="s">
        <v>235</v>
      </c>
      <c r="L44" s="189">
        <v>646933.82999999996</v>
      </c>
      <c r="M44" s="189">
        <v>650307.49</v>
      </c>
    </row>
    <row r="45" spans="11:13" hidden="1" x14ac:dyDescent="0.25">
      <c r="K45" s="179" t="s">
        <v>236</v>
      </c>
      <c r="L45" s="180">
        <v>549396.12</v>
      </c>
      <c r="M45" s="180">
        <v>569909.94999999995</v>
      </c>
    </row>
    <row r="46" spans="11:13" hidden="1" x14ac:dyDescent="0.25">
      <c r="K46" s="179" t="s">
        <v>237</v>
      </c>
      <c r="L46" s="189">
        <v>105261.2</v>
      </c>
      <c r="M46" s="189">
        <v>101734.01</v>
      </c>
    </row>
    <row r="47" spans="11:13" hidden="1" x14ac:dyDescent="0.25">
      <c r="K47" s="179" t="s">
        <v>238</v>
      </c>
      <c r="L47" s="180">
        <v>356468.01</v>
      </c>
      <c r="M47" s="180">
        <v>334662.58</v>
      </c>
    </row>
    <row r="48" spans="11:13" hidden="1" x14ac:dyDescent="0.25">
      <c r="K48" s="179" t="s">
        <v>239</v>
      </c>
      <c r="L48" s="189">
        <v>467808</v>
      </c>
      <c r="M48" s="189">
        <v>439690</v>
      </c>
    </row>
    <row r="49" spans="11:13" hidden="1" x14ac:dyDescent="0.25">
      <c r="K49" s="179" t="s">
        <v>240</v>
      </c>
      <c r="L49" s="189">
        <v>115599.24</v>
      </c>
      <c r="M49" s="189">
        <v>106938.94</v>
      </c>
    </row>
    <row r="50" spans="11:13" hidden="1" x14ac:dyDescent="0.25">
      <c r="K50" s="179" t="s">
        <v>241</v>
      </c>
      <c r="L50" s="180">
        <v>54843.93</v>
      </c>
      <c r="M50" s="180">
        <v>51357.31</v>
      </c>
    </row>
    <row r="51" spans="11:13" x14ac:dyDescent="0.25">
      <c r="K51" s="179" t="s">
        <v>242</v>
      </c>
      <c r="L51" s="180">
        <v>72188.639999999999</v>
      </c>
      <c r="M51" s="180">
        <v>59518.65</v>
      </c>
    </row>
    <row r="52" spans="11:13" hidden="1" x14ac:dyDescent="0.25">
      <c r="K52" s="179" t="s">
        <v>243</v>
      </c>
      <c r="L52" s="180">
        <v>104143.76</v>
      </c>
      <c r="M52" s="180">
        <v>91450.96</v>
      </c>
    </row>
    <row r="53" spans="11:13" x14ac:dyDescent="0.25">
      <c r="K53" s="179" t="s">
        <v>244</v>
      </c>
      <c r="L53" s="180">
        <v>107507.4</v>
      </c>
      <c r="M53" s="180">
        <v>96046.53</v>
      </c>
    </row>
    <row r="54" spans="11:13" x14ac:dyDescent="0.25">
      <c r="K54" s="179" t="s">
        <v>245</v>
      </c>
      <c r="L54" s="180">
        <v>80873.64</v>
      </c>
      <c r="M54" s="180">
        <v>76116.28</v>
      </c>
    </row>
    <row r="55" spans="11:13" hidden="1" x14ac:dyDescent="0.25">
      <c r="K55" s="179" t="s">
        <v>246</v>
      </c>
      <c r="L55" s="180">
        <v>96065.9</v>
      </c>
      <c r="M55" s="180">
        <v>123769.37</v>
      </c>
    </row>
    <row r="56" spans="11:13" x14ac:dyDescent="0.25">
      <c r="K56" s="179" t="s">
        <v>247</v>
      </c>
      <c r="L56" s="180">
        <v>98122.3</v>
      </c>
      <c r="M56" s="180">
        <v>103451.95</v>
      </c>
    </row>
    <row r="57" spans="11:13" hidden="1" x14ac:dyDescent="0.25">
      <c r="K57" s="179" t="s">
        <v>248</v>
      </c>
      <c r="L57" s="180">
        <v>313322.98</v>
      </c>
      <c r="M57" s="180">
        <v>329783.55</v>
      </c>
    </row>
    <row r="58" spans="11:13" hidden="1" x14ac:dyDescent="0.25">
      <c r="K58" s="179" t="s">
        <v>249</v>
      </c>
      <c r="L58" s="180">
        <v>379457.52</v>
      </c>
      <c r="M58" s="180">
        <v>343815.06</v>
      </c>
    </row>
    <row r="59" spans="11:13" x14ac:dyDescent="0.25">
      <c r="K59" s="179" t="s">
        <v>250</v>
      </c>
      <c r="L59" s="180">
        <v>91866.78</v>
      </c>
      <c r="M59" s="180">
        <v>91854.2</v>
      </c>
    </row>
    <row r="60" spans="11:13" hidden="1" x14ac:dyDescent="0.25">
      <c r="K60" s="179" t="s">
        <v>251</v>
      </c>
      <c r="L60" s="189">
        <v>1161689.1199999999</v>
      </c>
      <c r="M60" s="189">
        <v>1105999.3999999999</v>
      </c>
    </row>
    <row r="61" spans="11:13" hidden="1" x14ac:dyDescent="0.25">
      <c r="K61" s="179" t="s">
        <v>252</v>
      </c>
      <c r="L61" s="189">
        <v>255655.26</v>
      </c>
      <c r="M61" s="189">
        <v>227553.15</v>
      </c>
    </row>
    <row r="62" spans="11:13" hidden="1" x14ac:dyDescent="0.25">
      <c r="K62" s="179" t="s">
        <v>253</v>
      </c>
      <c r="L62" s="180">
        <v>171270.2</v>
      </c>
      <c r="M62" s="180">
        <v>218146.08</v>
      </c>
    </row>
    <row r="63" spans="11:13" x14ac:dyDescent="0.25">
      <c r="K63" s="179" t="s">
        <v>254</v>
      </c>
      <c r="L63" s="180">
        <v>88962.48</v>
      </c>
      <c r="M63" s="180">
        <v>80761.03</v>
      </c>
    </row>
    <row r="64" spans="11:13" hidden="1" x14ac:dyDescent="0.25">
      <c r="K64" s="179" t="s">
        <v>255</v>
      </c>
      <c r="L64" s="180">
        <v>22876.52</v>
      </c>
      <c r="M64" s="180">
        <v>22835.69</v>
      </c>
    </row>
    <row r="65" spans="11:13" hidden="1" x14ac:dyDescent="0.25">
      <c r="K65" s="179" t="s">
        <v>256</v>
      </c>
      <c r="L65" s="180">
        <v>32411.48</v>
      </c>
      <c r="M65" s="180">
        <v>31092</v>
      </c>
    </row>
    <row r="66" spans="11:13" hidden="1" x14ac:dyDescent="0.25">
      <c r="K66" s="179" t="s">
        <v>257</v>
      </c>
      <c r="L66" s="189">
        <v>23986.62</v>
      </c>
      <c r="M66" s="189">
        <v>23885.75</v>
      </c>
    </row>
    <row r="67" spans="11:13" hidden="1" x14ac:dyDescent="0.25">
      <c r="K67" s="179" t="s">
        <v>258</v>
      </c>
      <c r="L67" s="180">
        <v>46030.52</v>
      </c>
      <c r="M67" s="180">
        <v>35740.339999999997</v>
      </c>
    </row>
    <row r="68" spans="11:13" hidden="1" x14ac:dyDescent="0.25">
      <c r="K68" s="179" t="s">
        <v>259</v>
      </c>
      <c r="L68" s="189">
        <v>55044.959999999999</v>
      </c>
      <c r="M68" s="189">
        <v>48751.61</v>
      </c>
    </row>
    <row r="69" spans="11:13" hidden="1" x14ac:dyDescent="0.25">
      <c r="K69" s="179" t="s">
        <v>260</v>
      </c>
      <c r="L69" s="180">
        <v>27226.880000000001</v>
      </c>
      <c r="M69" s="180">
        <v>32197.02</v>
      </c>
    </row>
    <row r="70" spans="11:13" hidden="1" x14ac:dyDescent="0.25">
      <c r="K70" s="179" t="s">
        <v>261</v>
      </c>
      <c r="L70" s="180">
        <v>344766</v>
      </c>
      <c r="M70" s="180">
        <v>345442.75</v>
      </c>
    </row>
    <row r="71" spans="11:13" hidden="1" x14ac:dyDescent="0.25">
      <c r="K71" s="179" t="s">
        <v>262</v>
      </c>
      <c r="L71" s="189">
        <v>1014309.9700000001</v>
      </c>
      <c r="M71" s="189">
        <v>948339.19000000006</v>
      </c>
    </row>
    <row r="72" spans="11:13" hidden="1" x14ac:dyDescent="0.25">
      <c r="K72" s="179" t="s">
        <v>263</v>
      </c>
      <c r="L72" s="189">
        <v>60844.88</v>
      </c>
      <c r="M72" s="189">
        <v>51687.05</v>
      </c>
    </row>
    <row r="73" spans="11:13" hidden="1" x14ac:dyDescent="0.25">
      <c r="K73" s="179" t="s">
        <v>264</v>
      </c>
      <c r="L73" s="189">
        <v>585303.12</v>
      </c>
      <c r="M73" s="189">
        <v>560873.61</v>
      </c>
    </row>
    <row r="74" spans="11:13" hidden="1" x14ac:dyDescent="0.25">
      <c r="K74" s="179" t="s">
        <v>265</v>
      </c>
      <c r="L74" s="189">
        <v>71579.039999999994</v>
      </c>
      <c r="M74" s="189">
        <v>88941.37</v>
      </c>
    </row>
    <row r="75" spans="11:13" hidden="1" x14ac:dyDescent="0.25">
      <c r="K75" s="179" t="s">
        <v>266</v>
      </c>
      <c r="L75" s="189">
        <v>15978.24</v>
      </c>
      <c r="M75" s="189">
        <v>16664.59</v>
      </c>
    </row>
    <row r="76" spans="11:13" hidden="1" x14ac:dyDescent="0.25">
      <c r="K76" s="179" t="s">
        <v>267</v>
      </c>
      <c r="L76" s="189">
        <v>56521.84</v>
      </c>
      <c r="M76" s="189">
        <v>140671.10999999999</v>
      </c>
    </row>
    <row r="77" spans="11:13" hidden="1" x14ac:dyDescent="0.25">
      <c r="K77" s="179" t="s">
        <v>268</v>
      </c>
      <c r="L77" s="189">
        <v>36918.480000000003</v>
      </c>
      <c r="M77" s="189">
        <v>34549.72</v>
      </c>
    </row>
    <row r="78" spans="11:13" hidden="1" x14ac:dyDescent="0.25">
      <c r="K78" s="179" t="s">
        <v>269</v>
      </c>
      <c r="L78" s="180">
        <v>561609.72</v>
      </c>
      <c r="M78" s="180">
        <v>568005.06000000006</v>
      </c>
    </row>
    <row r="79" spans="11:13" hidden="1" x14ac:dyDescent="0.25">
      <c r="K79" s="179" t="s">
        <v>270</v>
      </c>
      <c r="L79" s="189">
        <v>775217.54</v>
      </c>
      <c r="M79" s="189">
        <v>763706.15999999992</v>
      </c>
    </row>
    <row r="80" spans="11:13" hidden="1" x14ac:dyDescent="0.25">
      <c r="K80" s="179" t="s">
        <v>271</v>
      </c>
      <c r="L80" s="189">
        <v>584922.64</v>
      </c>
      <c r="M80" s="189">
        <v>596335.81000000006</v>
      </c>
    </row>
    <row r="81" spans="11:13" x14ac:dyDescent="0.25">
      <c r="K81" s="179" t="s">
        <v>412</v>
      </c>
      <c r="L81" s="189">
        <v>782142.94000000006</v>
      </c>
      <c r="M81" s="189">
        <v>761986.28</v>
      </c>
    </row>
    <row r="82" spans="11:13" hidden="1" x14ac:dyDescent="0.25">
      <c r="K82" s="179" t="s">
        <v>272</v>
      </c>
      <c r="L82" s="189">
        <v>615955.27999999991</v>
      </c>
      <c r="M82" s="189">
        <v>599609.39</v>
      </c>
    </row>
    <row r="83" spans="11:13" x14ac:dyDescent="0.25">
      <c r="K83" s="179" t="s">
        <v>273</v>
      </c>
      <c r="L83" s="189">
        <v>584335.35999999999</v>
      </c>
      <c r="M83" s="189">
        <v>594672.70000000007</v>
      </c>
    </row>
    <row r="84" spans="11:13" hidden="1" x14ac:dyDescent="0.25">
      <c r="K84" s="179" t="s">
        <v>274</v>
      </c>
      <c r="L84" s="189">
        <v>733778.19000000006</v>
      </c>
      <c r="M84" s="189">
        <v>756483.33</v>
      </c>
    </row>
    <row r="85" spans="11:13" hidden="1" x14ac:dyDescent="0.25">
      <c r="K85" s="179" t="s">
        <v>275</v>
      </c>
      <c r="L85" s="189">
        <v>896479.72</v>
      </c>
      <c r="M85" s="189">
        <v>884840.88</v>
      </c>
    </row>
    <row r="86" spans="11:13" x14ac:dyDescent="0.25">
      <c r="K86" s="179" t="s">
        <v>276</v>
      </c>
      <c r="L86" s="189">
        <v>539293.31999999995</v>
      </c>
      <c r="M86" s="189">
        <v>536977.69000000006</v>
      </c>
    </row>
    <row r="87" spans="11:13" x14ac:dyDescent="0.25">
      <c r="K87" s="179" t="s">
        <v>403</v>
      </c>
      <c r="L87" s="189">
        <v>575396.46</v>
      </c>
      <c r="M87" s="189">
        <v>569206.44999999995</v>
      </c>
    </row>
    <row r="88" spans="11:13" hidden="1" x14ac:dyDescent="0.25">
      <c r="K88" s="179" t="s">
        <v>277</v>
      </c>
      <c r="L88" s="189">
        <v>555952.56000000006</v>
      </c>
      <c r="M88" s="189">
        <v>531665.53</v>
      </c>
    </row>
    <row r="89" spans="11:13" hidden="1" x14ac:dyDescent="0.25">
      <c r="K89" s="179" t="s">
        <v>278</v>
      </c>
      <c r="L89" s="180">
        <v>266751.56</v>
      </c>
      <c r="M89" s="180">
        <v>235242.69</v>
      </c>
    </row>
    <row r="90" spans="11:13" hidden="1" x14ac:dyDescent="0.25">
      <c r="K90" s="179" t="s">
        <v>279</v>
      </c>
      <c r="L90" s="189">
        <v>882378.66</v>
      </c>
      <c r="M90" s="189">
        <v>848079.23</v>
      </c>
    </row>
    <row r="91" spans="11:13" hidden="1" x14ac:dyDescent="0.25">
      <c r="K91" s="179" t="s">
        <v>280</v>
      </c>
      <c r="L91" s="189">
        <v>296357.5</v>
      </c>
      <c r="M91" s="189">
        <v>292207.65999999997</v>
      </c>
    </row>
    <row r="92" spans="11:13" hidden="1" x14ac:dyDescent="0.25">
      <c r="K92" s="179" t="s">
        <v>281</v>
      </c>
      <c r="L92" s="189">
        <v>815665.77</v>
      </c>
      <c r="M92" s="189">
        <v>807442.2</v>
      </c>
    </row>
    <row r="93" spans="11:13" hidden="1" x14ac:dyDescent="0.25">
      <c r="K93" s="179" t="s">
        <v>282</v>
      </c>
      <c r="L93" s="189">
        <v>505501.34</v>
      </c>
      <c r="M93" s="189">
        <v>517130.88</v>
      </c>
    </row>
    <row r="94" spans="11:13" hidden="1" x14ac:dyDescent="0.25">
      <c r="K94" s="179" t="s">
        <v>283</v>
      </c>
      <c r="L94" s="180">
        <v>262123.40000000002</v>
      </c>
      <c r="M94" s="180">
        <v>264525.36</v>
      </c>
    </row>
    <row r="95" spans="11:13" x14ac:dyDescent="0.25">
      <c r="K95" s="179" t="s">
        <v>284</v>
      </c>
      <c r="L95" s="189">
        <v>595497.12</v>
      </c>
      <c r="M95" s="189">
        <v>554701.9</v>
      </c>
    </row>
    <row r="96" spans="11:13" hidden="1" x14ac:dyDescent="0.25">
      <c r="K96" s="179" t="s">
        <v>285</v>
      </c>
      <c r="L96" s="189">
        <v>192741.7</v>
      </c>
      <c r="M96" s="189">
        <v>255776.37</v>
      </c>
    </row>
    <row r="97" spans="11:13" hidden="1" x14ac:dyDescent="0.25">
      <c r="K97" s="179" t="s">
        <v>286</v>
      </c>
      <c r="L97" s="189">
        <v>71221.41</v>
      </c>
      <c r="M97" s="189">
        <v>62048.33</v>
      </c>
    </row>
    <row r="98" spans="11:13" hidden="1" x14ac:dyDescent="0.25">
      <c r="K98" s="179" t="s">
        <v>287</v>
      </c>
      <c r="L98" s="189">
        <v>143297.20000000001</v>
      </c>
      <c r="M98" s="189">
        <v>138001.44</v>
      </c>
    </row>
    <row r="99" spans="11:13" hidden="1" x14ac:dyDescent="0.25">
      <c r="K99" s="179" t="s">
        <v>288</v>
      </c>
      <c r="L99" s="189">
        <v>176635.78</v>
      </c>
      <c r="M99" s="189">
        <v>154230.17000000001</v>
      </c>
    </row>
    <row r="100" spans="11:13" hidden="1" x14ac:dyDescent="0.25">
      <c r="K100" s="179" t="s">
        <v>289</v>
      </c>
      <c r="L100" s="189">
        <v>1124514.51</v>
      </c>
      <c r="M100" s="189">
        <v>1047206.4400000001</v>
      </c>
    </row>
    <row r="101" spans="11:13" hidden="1" x14ac:dyDescent="0.25">
      <c r="K101" s="179" t="s">
        <v>290</v>
      </c>
      <c r="L101" s="189">
        <v>2682026.6399999997</v>
      </c>
      <c r="M101" s="189">
        <v>2517638.0999999996</v>
      </c>
    </row>
    <row r="102" spans="11:13" hidden="1" x14ac:dyDescent="0.25">
      <c r="K102" s="179" t="s">
        <v>291</v>
      </c>
      <c r="L102" s="189">
        <v>716094.72</v>
      </c>
      <c r="M102" s="189">
        <v>692669.01</v>
      </c>
    </row>
    <row r="103" spans="11:13" hidden="1" x14ac:dyDescent="0.25">
      <c r="K103" s="179" t="s">
        <v>292</v>
      </c>
      <c r="L103" s="189">
        <v>960687.51</v>
      </c>
      <c r="M103" s="189">
        <v>872211.73</v>
      </c>
    </row>
    <row r="104" spans="11:13" hidden="1" x14ac:dyDescent="0.25">
      <c r="K104" s="179" t="s">
        <v>293</v>
      </c>
      <c r="L104" s="189">
        <v>377224.79</v>
      </c>
      <c r="M104" s="189">
        <v>348244.68000000005</v>
      </c>
    </row>
    <row r="105" spans="11:13" hidden="1" x14ac:dyDescent="0.25">
      <c r="K105" s="179" t="s">
        <v>294</v>
      </c>
      <c r="L105" s="189">
        <v>71853.899999999994</v>
      </c>
      <c r="M105" s="189">
        <v>79138.41</v>
      </c>
    </row>
    <row r="106" spans="11:13" hidden="1" x14ac:dyDescent="0.25">
      <c r="K106" s="179" t="s">
        <v>295</v>
      </c>
      <c r="L106" s="189">
        <v>89754.6</v>
      </c>
      <c r="M106" s="189">
        <v>116034.78</v>
      </c>
    </row>
    <row r="107" spans="11:13" hidden="1" x14ac:dyDescent="0.25">
      <c r="K107" s="179" t="s">
        <v>296</v>
      </c>
      <c r="L107" s="189">
        <v>468471.78</v>
      </c>
      <c r="M107" s="189">
        <v>423918.16000000003</v>
      </c>
    </row>
    <row r="108" spans="11:13" hidden="1" x14ac:dyDescent="0.25">
      <c r="K108" s="179" t="s">
        <v>297</v>
      </c>
      <c r="L108" s="189">
        <v>57162.96</v>
      </c>
      <c r="M108" s="189">
        <v>58149.04</v>
      </c>
    </row>
    <row r="109" spans="11:13" hidden="1" x14ac:dyDescent="0.25">
      <c r="K109" s="179" t="s">
        <v>298</v>
      </c>
      <c r="L109" s="189">
        <v>63545.04</v>
      </c>
      <c r="M109" s="189">
        <v>55972.45</v>
      </c>
    </row>
    <row r="110" spans="11:13" hidden="1" x14ac:dyDescent="0.25">
      <c r="K110" s="179" t="s">
        <v>299</v>
      </c>
      <c r="L110" s="189">
        <v>109806.58</v>
      </c>
      <c r="M110" s="189">
        <v>90410.07</v>
      </c>
    </row>
    <row r="111" spans="11:13" hidden="1" x14ac:dyDescent="0.25">
      <c r="K111" s="179" t="s">
        <v>300</v>
      </c>
      <c r="L111" s="189">
        <v>364758.30000000005</v>
      </c>
      <c r="M111" s="189">
        <v>329036.49</v>
      </c>
    </row>
    <row r="112" spans="11:13" hidden="1" x14ac:dyDescent="0.25">
      <c r="K112" s="179" t="s">
        <v>301</v>
      </c>
      <c r="L112" s="189">
        <v>616476.69999999995</v>
      </c>
      <c r="M112" s="189">
        <v>579955.11</v>
      </c>
    </row>
    <row r="113" spans="11:13" hidden="1" x14ac:dyDescent="0.25">
      <c r="K113" s="179" t="s">
        <v>302</v>
      </c>
      <c r="L113" s="189">
        <v>893607.05999999994</v>
      </c>
      <c r="M113" s="189">
        <v>841773.46</v>
      </c>
    </row>
    <row r="114" spans="11:13" hidden="1" x14ac:dyDescent="0.25">
      <c r="K114" s="179" t="s">
        <v>303</v>
      </c>
      <c r="L114" s="189">
        <v>210122.78</v>
      </c>
      <c r="M114" s="189">
        <v>202635.64</v>
      </c>
    </row>
    <row r="115" spans="11:13" x14ac:dyDescent="0.25">
      <c r="K115" s="179" t="s">
        <v>304</v>
      </c>
      <c r="L115" s="189">
        <v>299815.18</v>
      </c>
      <c r="M115" s="189">
        <v>279672.83999999997</v>
      </c>
    </row>
    <row r="116" spans="11:13" hidden="1" x14ac:dyDescent="0.25">
      <c r="K116" s="179" t="s">
        <v>305</v>
      </c>
      <c r="L116" s="189">
        <v>506666.28</v>
      </c>
      <c r="M116" s="189">
        <v>487803.81</v>
      </c>
    </row>
    <row r="117" spans="11:13" hidden="1" x14ac:dyDescent="0.25">
      <c r="K117" s="179" t="s">
        <v>306</v>
      </c>
      <c r="L117" s="189">
        <v>278739.48</v>
      </c>
      <c r="M117" s="189">
        <v>267173.18</v>
      </c>
    </row>
    <row r="118" spans="11:13" hidden="1" x14ac:dyDescent="0.25">
      <c r="K118" s="179" t="s">
        <v>307</v>
      </c>
      <c r="L118" s="189">
        <v>374789.28</v>
      </c>
      <c r="M118" s="189">
        <v>401515.2</v>
      </c>
    </row>
    <row r="119" spans="11:13" hidden="1" x14ac:dyDescent="0.25">
      <c r="K119" s="179" t="s">
        <v>308</v>
      </c>
      <c r="L119" s="189">
        <v>1021163.88</v>
      </c>
      <c r="M119" s="189">
        <v>1007768.62</v>
      </c>
    </row>
    <row r="120" spans="11:13" hidden="1" x14ac:dyDescent="0.25">
      <c r="K120" s="179" t="s">
        <v>309</v>
      </c>
      <c r="L120" s="189">
        <v>1403174.08</v>
      </c>
      <c r="M120" s="189">
        <v>1354142.81</v>
      </c>
    </row>
    <row r="121" spans="11:13" hidden="1" x14ac:dyDescent="0.25">
      <c r="K121" s="179" t="s">
        <v>310</v>
      </c>
      <c r="L121" s="189">
        <v>677123.7</v>
      </c>
      <c r="M121" s="189">
        <v>663527.56000000006</v>
      </c>
    </row>
    <row r="122" spans="11:13" hidden="1" x14ac:dyDescent="0.25">
      <c r="K122" s="179" t="s">
        <v>311</v>
      </c>
      <c r="L122" s="189">
        <v>556792.68000000005</v>
      </c>
      <c r="M122" s="189">
        <v>526431.4</v>
      </c>
    </row>
    <row r="123" spans="11:13" hidden="1" x14ac:dyDescent="0.25">
      <c r="K123" s="179" t="s">
        <v>312</v>
      </c>
      <c r="L123" s="189">
        <v>808255.08000000007</v>
      </c>
      <c r="M123" s="189">
        <v>805425.09</v>
      </c>
    </row>
    <row r="124" spans="11:13" hidden="1" x14ac:dyDescent="0.25">
      <c r="K124" s="179" t="s">
        <v>313</v>
      </c>
      <c r="L124" s="189">
        <v>261364.7</v>
      </c>
      <c r="M124" s="189">
        <v>238448.77000000002</v>
      </c>
    </row>
    <row r="125" spans="11:13" hidden="1" x14ac:dyDescent="0.25">
      <c r="K125" s="179" t="s">
        <v>314</v>
      </c>
      <c r="L125" s="189">
        <v>1165338.02</v>
      </c>
      <c r="M125" s="189">
        <v>1132790.43</v>
      </c>
    </row>
    <row r="126" spans="11:13" hidden="1" x14ac:dyDescent="0.25">
      <c r="K126" s="179" t="s">
        <v>315</v>
      </c>
      <c r="L126" s="189">
        <v>740982.02</v>
      </c>
      <c r="M126" s="189">
        <v>689769.25</v>
      </c>
    </row>
    <row r="127" spans="11:13" hidden="1" x14ac:dyDescent="0.25">
      <c r="K127" s="179" t="s">
        <v>316</v>
      </c>
      <c r="L127" s="189">
        <v>551266.97</v>
      </c>
      <c r="M127" s="189">
        <v>560269.78</v>
      </c>
    </row>
    <row r="128" spans="11:13" hidden="1" x14ac:dyDescent="0.25">
      <c r="K128" s="179" t="s">
        <v>317</v>
      </c>
      <c r="L128" s="189">
        <v>962380.99</v>
      </c>
      <c r="M128" s="189">
        <v>1009458.45</v>
      </c>
    </row>
    <row r="129" spans="11:13" hidden="1" x14ac:dyDescent="0.25">
      <c r="K129" s="179" t="s">
        <v>318</v>
      </c>
      <c r="L129" s="189">
        <v>475874.08</v>
      </c>
      <c r="M129" s="189">
        <v>456169.32</v>
      </c>
    </row>
    <row r="130" spans="11:13" hidden="1" x14ac:dyDescent="0.25">
      <c r="K130" s="179" t="s">
        <v>319</v>
      </c>
      <c r="L130" s="189">
        <v>2523922.3200000003</v>
      </c>
      <c r="M130" s="189">
        <v>2511129.23</v>
      </c>
    </row>
    <row r="131" spans="11:13" hidden="1" x14ac:dyDescent="0.25">
      <c r="K131" s="179" t="s">
        <v>320</v>
      </c>
      <c r="L131" s="189">
        <v>335651.98</v>
      </c>
      <c r="M131" s="189">
        <v>331958.26</v>
      </c>
    </row>
    <row r="132" spans="11:13" hidden="1" x14ac:dyDescent="0.25">
      <c r="K132" s="179" t="s">
        <v>321</v>
      </c>
      <c r="L132" s="189">
        <v>1147410.3800000001</v>
      </c>
      <c r="M132" s="189">
        <v>1101327.3900000001</v>
      </c>
    </row>
    <row r="133" spans="11:13" hidden="1" x14ac:dyDescent="0.25">
      <c r="K133" s="179" t="s">
        <v>322</v>
      </c>
      <c r="L133" s="189">
        <v>509381.42</v>
      </c>
      <c r="M133" s="189">
        <v>466715.74</v>
      </c>
    </row>
    <row r="134" spans="11:13" hidden="1" x14ac:dyDescent="0.25">
      <c r="K134" s="179" t="s">
        <v>323</v>
      </c>
      <c r="L134" s="189">
        <v>820532.41999999993</v>
      </c>
      <c r="M134" s="189">
        <v>823146.34</v>
      </c>
    </row>
    <row r="135" spans="11:13" hidden="1" x14ac:dyDescent="0.25">
      <c r="K135" s="179" t="s">
        <v>324</v>
      </c>
      <c r="L135" s="189">
        <v>518676.81</v>
      </c>
      <c r="M135" s="189">
        <v>466921.37</v>
      </c>
    </row>
    <row r="136" spans="11:13" hidden="1" x14ac:dyDescent="0.25">
      <c r="K136" s="179" t="s">
        <v>325</v>
      </c>
      <c r="L136" s="189">
        <v>332254.06</v>
      </c>
      <c r="M136" s="189">
        <v>320881.89</v>
      </c>
    </row>
    <row r="137" spans="11:13" hidden="1" x14ac:dyDescent="0.25">
      <c r="K137" s="179" t="s">
        <v>326</v>
      </c>
      <c r="L137" s="189">
        <v>448786.6</v>
      </c>
      <c r="M137" s="189">
        <v>431144.76</v>
      </c>
    </row>
    <row r="138" spans="11:13" hidden="1" x14ac:dyDescent="0.25">
      <c r="K138" s="179" t="s">
        <v>327</v>
      </c>
      <c r="L138" s="189">
        <v>362488.45999999996</v>
      </c>
      <c r="M138" s="189">
        <v>363640.78</v>
      </c>
    </row>
    <row r="139" spans="11:13" x14ac:dyDescent="0.25">
      <c r="K139" s="179" t="s">
        <v>328</v>
      </c>
      <c r="L139" s="189">
        <v>248892.5</v>
      </c>
      <c r="M139" s="189">
        <v>253349.59</v>
      </c>
    </row>
    <row r="140" spans="11:13" hidden="1" x14ac:dyDescent="0.25">
      <c r="K140" s="179" t="s">
        <v>329</v>
      </c>
      <c r="L140" s="189">
        <v>307196.90000000002</v>
      </c>
      <c r="M140" s="189">
        <v>299439.95</v>
      </c>
    </row>
    <row r="141" spans="11:13" hidden="1" x14ac:dyDescent="0.25">
      <c r="K141" s="179" t="s">
        <v>330</v>
      </c>
      <c r="L141" s="189">
        <v>402800.44</v>
      </c>
      <c r="M141" s="189">
        <v>401062.31000000006</v>
      </c>
    </row>
    <row r="142" spans="11:13" x14ac:dyDescent="0.25">
      <c r="K142" s="179" t="s">
        <v>331</v>
      </c>
      <c r="L142" s="189">
        <v>305989.62</v>
      </c>
      <c r="M142" s="189">
        <v>302356.45</v>
      </c>
    </row>
    <row r="143" spans="11:13" hidden="1" x14ac:dyDescent="0.25">
      <c r="K143" s="179" t="s">
        <v>332</v>
      </c>
      <c r="L143" s="189">
        <v>77461.38</v>
      </c>
      <c r="M143" s="189">
        <v>68970.05</v>
      </c>
    </row>
    <row r="144" spans="11:13" hidden="1" x14ac:dyDescent="0.25">
      <c r="K144" s="179" t="s">
        <v>333</v>
      </c>
      <c r="L144" s="189">
        <v>99111.9</v>
      </c>
      <c r="M144" s="189">
        <v>140829.65</v>
      </c>
    </row>
    <row r="145" spans="11:13" hidden="1" x14ac:dyDescent="0.25">
      <c r="K145" s="179" t="s">
        <v>334</v>
      </c>
      <c r="L145" s="189">
        <v>89311.32</v>
      </c>
      <c r="M145" s="189">
        <v>54388.29</v>
      </c>
    </row>
    <row r="146" spans="11:13" hidden="1" x14ac:dyDescent="0.25">
      <c r="K146" s="179" t="s">
        <v>335</v>
      </c>
      <c r="L146" s="189">
        <v>110548.17</v>
      </c>
      <c r="M146" s="189">
        <v>134658.87</v>
      </c>
    </row>
    <row r="147" spans="11:13" hidden="1" x14ac:dyDescent="0.25">
      <c r="K147" s="179" t="s">
        <v>336</v>
      </c>
      <c r="L147" s="189">
        <v>117501.55</v>
      </c>
      <c r="M147" s="189">
        <v>116044.29</v>
      </c>
    </row>
    <row r="148" spans="11:13" hidden="1" x14ac:dyDescent="0.25">
      <c r="K148" s="179" t="s">
        <v>337</v>
      </c>
      <c r="L148" s="189">
        <v>125917.24</v>
      </c>
      <c r="M148" s="189">
        <v>108867.44</v>
      </c>
    </row>
    <row r="149" spans="11:13" hidden="1" x14ac:dyDescent="0.25">
      <c r="K149" s="179" t="s">
        <v>338</v>
      </c>
      <c r="L149" s="189">
        <v>80241.39</v>
      </c>
      <c r="M149" s="189">
        <v>69058.06</v>
      </c>
    </row>
    <row r="150" spans="11:13" hidden="1" x14ac:dyDescent="0.25">
      <c r="K150" s="179" t="s">
        <v>339</v>
      </c>
      <c r="L150" s="189">
        <v>169051.02</v>
      </c>
      <c r="M150" s="189">
        <v>157919.22</v>
      </c>
    </row>
    <row r="151" spans="11:13" hidden="1" x14ac:dyDescent="0.25">
      <c r="K151" s="179" t="s">
        <v>340</v>
      </c>
      <c r="L151" s="189">
        <v>99197.9</v>
      </c>
      <c r="M151" s="189">
        <v>109876.03</v>
      </c>
    </row>
    <row r="152" spans="11:13" hidden="1" x14ac:dyDescent="0.25">
      <c r="K152" s="179" t="s">
        <v>341</v>
      </c>
      <c r="L152" s="189">
        <v>193290.22</v>
      </c>
      <c r="M152" s="189">
        <v>183644.94</v>
      </c>
    </row>
    <row r="153" spans="11:13" hidden="1" x14ac:dyDescent="0.25">
      <c r="K153" s="179" t="s">
        <v>342</v>
      </c>
      <c r="L153" s="189">
        <v>115065.78</v>
      </c>
      <c r="M153" s="189">
        <v>107463.23</v>
      </c>
    </row>
    <row r="154" spans="11:13" hidden="1" x14ac:dyDescent="0.25">
      <c r="K154" s="179" t="s">
        <v>343</v>
      </c>
      <c r="L154" s="189">
        <v>205171.08</v>
      </c>
      <c r="M154" s="189">
        <v>193739.56</v>
      </c>
    </row>
    <row r="155" spans="11:13" hidden="1" x14ac:dyDescent="0.25">
      <c r="K155" s="179" t="s">
        <v>344</v>
      </c>
      <c r="L155" s="189">
        <v>88063.47</v>
      </c>
      <c r="M155" s="189">
        <v>71225.320000000007</v>
      </c>
    </row>
    <row r="156" spans="11:13" hidden="1" x14ac:dyDescent="0.25">
      <c r="K156" s="179" t="s">
        <v>345</v>
      </c>
      <c r="L156" s="189">
        <v>302040.24</v>
      </c>
      <c r="M156" s="189">
        <v>299525.8</v>
      </c>
    </row>
    <row r="157" spans="11:13" hidden="1" x14ac:dyDescent="0.25">
      <c r="K157" s="179" t="s">
        <v>346</v>
      </c>
      <c r="L157" s="189">
        <v>123444.09</v>
      </c>
      <c r="M157" s="189">
        <v>107060.46</v>
      </c>
    </row>
    <row r="158" spans="11:13" hidden="1" x14ac:dyDescent="0.25">
      <c r="K158" s="179" t="s">
        <v>347</v>
      </c>
      <c r="L158" s="189">
        <v>140813.29999999999</v>
      </c>
      <c r="M158" s="189">
        <v>157184.34</v>
      </c>
    </row>
    <row r="159" spans="11:13" hidden="1" x14ac:dyDescent="0.25">
      <c r="K159" s="179" t="s">
        <v>348</v>
      </c>
      <c r="L159" s="189">
        <v>163597.44</v>
      </c>
      <c r="M159" s="189">
        <v>154158.16</v>
      </c>
    </row>
    <row r="160" spans="11:13" hidden="1" x14ac:dyDescent="0.25">
      <c r="K160" s="179" t="s">
        <v>349</v>
      </c>
      <c r="L160" s="189">
        <v>146537.70000000001</v>
      </c>
      <c r="M160" s="189">
        <v>200641.42</v>
      </c>
    </row>
    <row r="161" spans="11:13" hidden="1" x14ac:dyDescent="0.25">
      <c r="K161" s="179" t="s">
        <v>350</v>
      </c>
      <c r="L161" s="189">
        <v>714628.79999999993</v>
      </c>
      <c r="M161" s="189">
        <v>695357.32000000007</v>
      </c>
    </row>
    <row r="162" spans="11:13" x14ac:dyDescent="0.25">
      <c r="K162" s="179" t="s">
        <v>404</v>
      </c>
      <c r="L162" s="189">
        <v>348109.55</v>
      </c>
      <c r="M162" s="189">
        <v>309024.34000000003</v>
      </c>
    </row>
    <row r="163" spans="11:13" hidden="1" x14ac:dyDescent="0.25">
      <c r="K163" s="179" t="s">
        <v>351</v>
      </c>
      <c r="L163" s="189">
        <v>116678.7</v>
      </c>
      <c r="M163" s="189">
        <v>117103.09</v>
      </c>
    </row>
    <row r="164" spans="11:13" hidden="1" x14ac:dyDescent="0.25">
      <c r="K164" s="179" t="s">
        <v>352</v>
      </c>
      <c r="L164" s="189">
        <v>522071.76</v>
      </c>
      <c r="M164" s="189">
        <v>527777.96000000008</v>
      </c>
    </row>
    <row r="165" spans="11:13" x14ac:dyDescent="0.25">
      <c r="K165" s="179" t="s">
        <v>405</v>
      </c>
      <c r="L165" s="189">
        <v>750081.71000000008</v>
      </c>
      <c r="M165" s="189">
        <v>743864.78999999992</v>
      </c>
    </row>
    <row r="166" spans="11:13" x14ac:dyDescent="0.25">
      <c r="K166" s="179" t="s">
        <v>406</v>
      </c>
      <c r="L166" s="189">
        <v>345399.72</v>
      </c>
      <c r="M166" s="189">
        <v>360131.52999999997</v>
      </c>
    </row>
    <row r="167" spans="11:13" hidden="1" x14ac:dyDescent="0.25">
      <c r="K167" s="179" t="s">
        <v>353</v>
      </c>
      <c r="L167" s="189">
        <v>149426</v>
      </c>
      <c r="M167" s="189">
        <v>147612.01</v>
      </c>
    </row>
    <row r="168" spans="11:13" hidden="1" x14ac:dyDescent="0.25">
      <c r="K168" s="179" t="s">
        <v>354</v>
      </c>
      <c r="L168" s="189">
        <v>617052.07999999996</v>
      </c>
      <c r="M168" s="189">
        <v>609480.62999999989</v>
      </c>
    </row>
    <row r="169" spans="11:13" hidden="1" x14ac:dyDescent="0.25">
      <c r="K169" s="179" t="s">
        <v>355</v>
      </c>
      <c r="L169" s="189">
        <v>140309.79999999999</v>
      </c>
      <c r="M169" s="189">
        <v>138754.26</v>
      </c>
    </row>
    <row r="170" spans="11:13" hidden="1" x14ac:dyDescent="0.25">
      <c r="K170" s="179" t="s">
        <v>356</v>
      </c>
      <c r="L170" s="189">
        <v>452259.38</v>
      </c>
      <c r="M170" s="189">
        <v>441095.94999999995</v>
      </c>
    </row>
    <row r="171" spans="11:13" hidden="1" x14ac:dyDescent="0.25">
      <c r="K171" s="179" t="s">
        <v>357</v>
      </c>
      <c r="L171" s="189">
        <v>137467.79999999999</v>
      </c>
      <c r="M171" s="189">
        <v>128475.61</v>
      </c>
    </row>
    <row r="172" spans="11:13" hidden="1" x14ac:dyDescent="0.25">
      <c r="K172" s="179" t="s">
        <v>358</v>
      </c>
      <c r="L172" s="189">
        <v>430705.76</v>
      </c>
      <c r="M172" s="189">
        <v>416961.29000000004</v>
      </c>
    </row>
    <row r="173" spans="11:13" hidden="1" x14ac:dyDescent="0.25">
      <c r="K173" s="179" t="s">
        <v>359</v>
      </c>
      <c r="L173" s="189">
        <v>268144.09999999998</v>
      </c>
      <c r="M173" s="189">
        <v>255462.64</v>
      </c>
    </row>
    <row r="174" spans="11:13" x14ac:dyDescent="0.25">
      <c r="K174" s="179" t="s">
        <v>407</v>
      </c>
      <c r="L174" s="189">
        <v>99126.56</v>
      </c>
      <c r="M174" s="189">
        <v>121367.74</v>
      </c>
    </row>
    <row r="175" spans="11:13" x14ac:dyDescent="0.25">
      <c r="K175" s="179" t="s">
        <v>408</v>
      </c>
      <c r="L175" s="189">
        <v>69115.679999999993</v>
      </c>
      <c r="M175" s="189">
        <v>64564.31</v>
      </c>
    </row>
    <row r="176" spans="11:13" hidden="1" x14ac:dyDescent="0.25">
      <c r="K176" s="179" t="s">
        <v>360</v>
      </c>
      <c r="L176" s="189">
        <v>755198.27999999991</v>
      </c>
      <c r="M176" s="189">
        <v>726068.01</v>
      </c>
    </row>
    <row r="177" spans="11:13" hidden="1" x14ac:dyDescent="0.25">
      <c r="K177" s="179" t="s">
        <v>361</v>
      </c>
      <c r="L177" s="189">
        <v>409723.36</v>
      </c>
      <c r="M177" s="189">
        <v>385238.92</v>
      </c>
    </row>
    <row r="178" spans="11:13" hidden="1" x14ac:dyDescent="0.25">
      <c r="K178" s="179" t="s">
        <v>362</v>
      </c>
      <c r="L178" s="189">
        <v>489718.08</v>
      </c>
      <c r="M178" s="189">
        <v>476739.45999999996</v>
      </c>
    </row>
    <row r="179" spans="11:13" x14ac:dyDescent="0.25">
      <c r="K179" s="179" t="s">
        <v>409</v>
      </c>
      <c r="L179" s="189">
        <v>29333.919999999998</v>
      </c>
      <c r="M179" s="189">
        <v>14433.71</v>
      </c>
    </row>
    <row r="180" spans="11:13" x14ac:dyDescent="0.25">
      <c r="K180" s="179" t="s">
        <v>410</v>
      </c>
      <c r="L180" s="189">
        <v>44532.480000000003</v>
      </c>
      <c r="M180" s="189">
        <v>58253.96</v>
      </c>
    </row>
    <row r="181" spans="11:13" hidden="1" x14ac:dyDescent="0.25">
      <c r="K181" s="179" t="s">
        <v>363</v>
      </c>
      <c r="L181" s="189">
        <v>473717.93</v>
      </c>
      <c r="M181" s="189">
        <v>450486.33</v>
      </c>
    </row>
    <row r="182" spans="11:13" hidden="1" x14ac:dyDescent="0.25">
      <c r="K182" s="179" t="s">
        <v>364</v>
      </c>
      <c r="L182" s="189">
        <v>881624.3600000001</v>
      </c>
      <c r="M182" s="189">
        <v>849689.01</v>
      </c>
    </row>
    <row r="183" spans="11:13" hidden="1" x14ac:dyDescent="0.25">
      <c r="K183" s="179" t="s">
        <v>365</v>
      </c>
      <c r="L183" s="189">
        <v>629105.4</v>
      </c>
      <c r="M183" s="189">
        <v>577385.69000000006</v>
      </c>
    </row>
    <row r="184" spans="11:13" hidden="1" x14ac:dyDescent="0.25">
      <c r="K184" s="179" t="s">
        <v>366</v>
      </c>
      <c r="L184" s="189">
        <v>74515.44</v>
      </c>
      <c r="M184" s="189">
        <v>73486.55</v>
      </c>
    </row>
    <row r="185" spans="11:13" hidden="1" x14ac:dyDescent="0.25">
      <c r="K185" s="179" t="s">
        <v>367</v>
      </c>
      <c r="L185" s="189">
        <v>582765.76</v>
      </c>
      <c r="M185" s="189">
        <v>545950.21</v>
      </c>
    </row>
    <row r="186" spans="11:13" hidden="1" x14ac:dyDescent="0.25">
      <c r="K186" s="179" t="s">
        <v>368</v>
      </c>
      <c r="L186" s="189">
        <v>71202.64</v>
      </c>
      <c r="M186" s="189">
        <v>137858.72</v>
      </c>
    </row>
    <row r="187" spans="11:13" hidden="1" x14ac:dyDescent="0.25">
      <c r="K187" s="179" t="s">
        <v>369</v>
      </c>
      <c r="L187" s="189">
        <v>363681.95999999996</v>
      </c>
      <c r="M187" s="189">
        <v>347109.27</v>
      </c>
    </row>
    <row r="188" spans="11:13" hidden="1" x14ac:dyDescent="0.25">
      <c r="K188" s="179" t="s">
        <v>370</v>
      </c>
      <c r="L188" s="189">
        <v>3203301.7199999997</v>
      </c>
      <c r="M188" s="189">
        <v>3101386.41</v>
      </c>
    </row>
    <row r="189" spans="11:13" hidden="1" x14ac:dyDescent="0.25">
      <c r="K189" s="179" t="s">
        <v>371</v>
      </c>
      <c r="L189" s="189">
        <v>359358.85000000003</v>
      </c>
      <c r="M189" s="189">
        <v>340331.69</v>
      </c>
    </row>
    <row r="190" spans="11:13" hidden="1" x14ac:dyDescent="0.25">
      <c r="K190" s="179" t="s">
        <v>372</v>
      </c>
      <c r="L190" s="189">
        <v>456533.51999999996</v>
      </c>
      <c r="M190" s="189">
        <v>445682.38</v>
      </c>
    </row>
    <row r="191" spans="11:13" hidden="1" x14ac:dyDescent="0.25">
      <c r="K191" s="179" t="s">
        <v>373</v>
      </c>
      <c r="L191" s="189">
        <v>715584.96</v>
      </c>
      <c r="M191" s="189">
        <v>688620.19000000006</v>
      </c>
    </row>
    <row r="192" spans="11:13" hidden="1" x14ac:dyDescent="0.25">
      <c r="K192" s="179" t="s">
        <v>374</v>
      </c>
      <c r="L192" s="189">
        <v>232839.98</v>
      </c>
      <c r="M192" s="189">
        <v>226995.92</v>
      </c>
    </row>
    <row r="193" spans="11:13" hidden="1" x14ac:dyDescent="0.25">
      <c r="K193" s="179" t="s">
        <v>375</v>
      </c>
      <c r="L193" s="189">
        <v>150869.38</v>
      </c>
      <c r="M193" s="189">
        <v>137132.6</v>
      </c>
    </row>
    <row r="194" spans="11:13" hidden="1" x14ac:dyDescent="0.25">
      <c r="K194" s="179" t="s">
        <v>376</v>
      </c>
      <c r="L194" s="189">
        <v>22897.78</v>
      </c>
      <c r="M194" s="189">
        <v>22013.51</v>
      </c>
    </row>
    <row r="195" spans="11:13" hidden="1" x14ac:dyDescent="0.25">
      <c r="K195" s="179" t="s">
        <v>377</v>
      </c>
      <c r="L195" s="189">
        <v>1226065.8799999999</v>
      </c>
      <c r="M195" s="189">
        <v>1138426.99</v>
      </c>
    </row>
    <row r="196" spans="11:13" hidden="1" x14ac:dyDescent="0.25">
      <c r="K196" s="179" t="s">
        <v>378</v>
      </c>
      <c r="L196" s="189">
        <v>191886.58</v>
      </c>
      <c r="M196" s="189">
        <v>180737.78</v>
      </c>
    </row>
    <row r="197" spans="11:13" hidden="1" x14ac:dyDescent="0.25">
      <c r="K197" s="179" t="s">
        <v>379</v>
      </c>
      <c r="L197" s="189">
        <v>187668.12</v>
      </c>
      <c r="M197" s="189">
        <v>172718.6</v>
      </c>
    </row>
    <row r="198" spans="11:13" x14ac:dyDescent="0.25">
      <c r="K198" s="179" t="s">
        <v>380</v>
      </c>
      <c r="L198" s="189">
        <v>102815.5</v>
      </c>
      <c r="M198" s="189">
        <v>99591.33</v>
      </c>
    </row>
    <row r="199" spans="11:13" hidden="1" x14ac:dyDescent="0.25">
      <c r="K199" s="179" t="s">
        <v>381</v>
      </c>
      <c r="L199" s="189">
        <v>297085.03999999998</v>
      </c>
      <c r="M199" s="189">
        <v>398322.67</v>
      </c>
    </row>
    <row r="200" spans="11:13" x14ac:dyDescent="0.25">
      <c r="K200" s="179" t="s">
        <v>382</v>
      </c>
      <c r="L200" s="189">
        <v>145788.66</v>
      </c>
      <c r="M200" s="189">
        <v>119075.88</v>
      </c>
    </row>
    <row r="201" spans="11:13" hidden="1" x14ac:dyDescent="0.25">
      <c r="K201" s="179" t="s">
        <v>383</v>
      </c>
      <c r="L201" s="189">
        <v>238807.8</v>
      </c>
      <c r="M201" s="189">
        <v>208185.61</v>
      </c>
    </row>
    <row r="202" spans="11:13" hidden="1" x14ac:dyDescent="0.25">
      <c r="K202" s="179" t="s">
        <v>384</v>
      </c>
      <c r="L202" s="189">
        <v>373254.36000000004</v>
      </c>
      <c r="M202" s="189">
        <v>369772.92</v>
      </c>
    </row>
    <row r="203" spans="11:13" hidden="1" x14ac:dyDescent="0.25">
      <c r="K203" s="179" t="s">
        <v>385</v>
      </c>
      <c r="L203" s="189">
        <v>273882.58</v>
      </c>
      <c r="M203" s="189">
        <v>203248.43</v>
      </c>
    </row>
    <row r="204" spans="11:13" hidden="1" x14ac:dyDescent="0.25">
      <c r="K204" s="179" t="s">
        <v>386</v>
      </c>
      <c r="L204" s="189">
        <v>109979</v>
      </c>
      <c r="M204" s="189">
        <v>109350.21</v>
      </c>
    </row>
    <row r="205" spans="11:13" x14ac:dyDescent="0.25">
      <c r="K205" s="179" t="s">
        <v>387</v>
      </c>
      <c r="L205" s="189">
        <v>102588.39</v>
      </c>
      <c r="M205" s="189">
        <v>101787.34</v>
      </c>
    </row>
    <row r="206" spans="11:13" hidden="1" x14ac:dyDescent="0.25">
      <c r="K206" s="179" t="s">
        <v>388</v>
      </c>
      <c r="L206" s="189">
        <v>184832.2</v>
      </c>
      <c r="M206" s="189">
        <v>187859.99</v>
      </c>
    </row>
    <row r="207" spans="11:13" hidden="1" x14ac:dyDescent="0.25">
      <c r="K207" s="179" t="s">
        <v>389</v>
      </c>
      <c r="L207" s="189">
        <v>16910.759999999998</v>
      </c>
      <c r="M207" s="189">
        <v>16807.14</v>
      </c>
    </row>
    <row r="208" spans="11:13" hidden="1" x14ac:dyDescent="0.25">
      <c r="K208" s="179" t="s">
        <v>390</v>
      </c>
      <c r="L208" s="189">
        <v>202786.6</v>
      </c>
      <c r="M208" s="189">
        <v>226176.26</v>
      </c>
    </row>
    <row r="209" spans="11:13" hidden="1" x14ac:dyDescent="0.25">
      <c r="K209" s="179" t="s">
        <v>391</v>
      </c>
      <c r="L209" s="189">
        <v>39765.22</v>
      </c>
      <c r="M209" s="189">
        <v>40297.43</v>
      </c>
    </row>
    <row r="210" spans="11:13" hidden="1" x14ac:dyDescent="0.25">
      <c r="K210" s="179" t="s">
        <v>392</v>
      </c>
      <c r="L210" s="189">
        <v>98039.6</v>
      </c>
      <c r="M210" s="189">
        <v>82838.67</v>
      </c>
    </row>
    <row r="211" spans="11:13" hidden="1" x14ac:dyDescent="0.25">
      <c r="K211" s="179" t="s">
        <v>393</v>
      </c>
      <c r="L211" s="189">
        <v>117861.4</v>
      </c>
      <c r="M211" s="189">
        <v>108906.07</v>
      </c>
    </row>
    <row r="212" spans="11:13" hidden="1" x14ac:dyDescent="0.25">
      <c r="K212" s="179" t="s">
        <v>394</v>
      </c>
      <c r="L212" s="189">
        <v>217219.16</v>
      </c>
      <c r="M212" s="189">
        <v>205169.36</v>
      </c>
    </row>
    <row r="213" spans="11:13" x14ac:dyDescent="0.25">
      <c r="K213" s="179" t="s">
        <v>395</v>
      </c>
      <c r="L213" s="189">
        <v>109536.06</v>
      </c>
      <c r="M213" s="189">
        <v>93716.78</v>
      </c>
    </row>
    <row r="214" spans="11:13" hidden="1" x14ac:dyDescent="0.25">
      <c r="K214" s="179" t="s">
        <v>396</v>
      </c>
      <c r="L214" s="189">
        <v>101324.52</v>
      </c>
      <c r="M214" s="189">
        <v>97068.52</v>
      </c>
    </row>
    <row r="215" spans="11:13" hidden="1" x14ac:dyDescent="0.25">
      <c r="K215" s="179" t="s">
        <v>397</v>
      </c>
      <c r="L215" s="189">
        <v>116300.88</v>
      </c>
      <c r="M215" s="189">
        <v>116780</v>
      </c>
    </row>
    <row r="216" spans="11:13" hidden="1" x14ac:dyDescent="0.25">
      <c r="K216" s="179" t="s">
        <v>398</v>
      </c>
      <c r="L216" s="189">
        <v>136596.5</v>
      </c>
      <c r="M216" s="189">
        <v>118300.51</v>
      </c>
    </row>
    <row r="217" spans="11:13" hidden="1" x14ac:dyDescent="0.25">
      <c r="K217" s="179" t="s">
        <v>399</v>
      </c>
      <c r="L217" s="189">
        <v>192416.74</v>
      </c>
      <c r="M217" s="189">
        <v>202029.76</v>
      </c>
    </row>
    <row r="218" spans="11:13" hidden="1" x14ac:dyDescent="0.25">
      <c r="K218" s="179" t="s">
        <v>400</v>
      </c>
      <c r="L218" s="189">
        <v>178770.5</v>
      </c>
      <c r="M218" s="189">
        <v>172796.17</v>
      </c>
    </row>
    <row r="219" spans="11:13" hidden="1" x14ac:dyDescent="0.25">
      <c r="K219" s="179" t="s">
        <v>401</v>
      </c>
      <c r="L219" s="189">
        <v>698543.34000000008</v>
      </c>
      <c r="M219" s="189">
        <v>662723.43000000005</v>
      </c>
    </row>
    <row r="220" spans="11:13" hidden="1" x14ac:dyDescent="0.25">
      <c r="K220" s="179" t="s">
        <v>402</v>
      </c>
      <c r="L220" s="189">
        <v>340254.44</v>
      </c>
      <c r="M220" s="189">
        <v>402922.25</v>
      </c>
    </row>
    <row r="221" spans="11:13" x14ac:dyDescent="0.25">
      <c r="K221" s="179" t="s">
        <v>411</v>
      </c>
      <c r="L221" s="189">
        <v>78080.240000000005</v>
      </c>
      <c r="M221" s="189">
        <v>74003.73</v>
      </c>
    </row>
  </sheetData>
  <autoFilter ref="K2:M221" xr:uid="{00000000-0009-0000-0000-000000000000}">
    <filterColumn colId="0">
      <customFilters>
        <customFilter val="*а"/>
        <customFilter val="*б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pageSetUpPr fitToPage="1"/>
  </sheetPr>
  <dimension ref="A1:G90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91.57031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91.57031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91.57031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91.57031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91.57031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91.57031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91.57031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91.57031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91.57031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91.57031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91.57031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91.57031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91.57031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91.57031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91.57031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91.57031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91.57031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91.57031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91.57031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91.57031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91.57031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91.57031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91.57031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91.57031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91.57031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91.57031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91.57031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91.57031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91.57031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91.57031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91.57031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91.57031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91.57031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91.57031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91.57031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91.57031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91.57031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91.57031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91.57031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91.57031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91.57031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91.57031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91.57031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91.57031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91.57031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91.57031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91.57031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91.57031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91.57031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91.57031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91.57031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91.57031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91.57031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91.57031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91.57031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91.57031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91.57031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91.57031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91.57031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91.57031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91.57031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91.57031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91.57031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6" t="s">
        <v>0</v>
      </c>
      <c r="B1" s="196"/>
      <c r="C1" s="65"/>
      <c r="D1" s="65"/>
    </row>
    <row r="2" spans="1:4" ht="16.5" x14ac:dyDescent="0.25">
      <c r="A2" s="198" t="s">
        <v>1</v>
      </c>
      <c r="B2" s="198"/>
      <c r="C2" s="65"/>
      <c r="D2" s="65"/>
    </row>
    <row r="3" spans="1:4" ht="16.5" x14ac:dyDescent="0.25">
      <c r="A3" s="198" t="s">
        <v>2</v>
      </c>
      <c r="B3" s="198"/>
      <c r="C3" s="65"/>
      <c r="D3" s="65"/>
    </row>
    <row r="4" spans="1:4" ht="15.75" x14ac:dyDescent="0.25">
      <c r="A4" s="69" t="s">
        <v>97</v>
      </c>
      <c r="B4" s="69"/>
      <c r="C4" s="65"/>
      <c r="D4" s="65"/>
    </row>
    <row r="5" spans="1:4" ht="15.75" x14ac:dyDescent="0.25">
      <c r="A5" s="69" t="s">
        <v>168</v>
      </c>
      <c r="B5" s="182"/>
      <c r="C5" s="65"/>
      <c r="D5" s="65"/>
    </row>
    <row r="6" spans="1:4" ht="5.25" customHeight="1" x14ac:dyDescent="0.25">
      <c r="A6" s="69"/>
      <c r="B6" s="3"/>
      <c r="C6" s="3"/>
      <c r="D6" s="65"/>
    </row>
    <row r="7" spans="1:4" ht="16.5" thickBot="1" x14ac:dyDescent="0.3">
      <c r="A7" s="168"/>
      <c r="B7" s="3"/>
      <c r="C7" s="3"/>
      <c r="D7" s="65"/>
    </row>
    <row r="8" spans="1:4" ht="15.75" customHeight="1" x14ac:dyDescent="0.25">
      <c r="A8" s="210" t="s">
        <v>4</v>
      </c>
      <c r="B8" s="201" t="s">
        <v>5</v>
      </c>
      <c r="C8" s="207" t="s">
        <v>6</v>
      </c>
      <c r="D8" s="207" t="s">
        <v>7</v>
      </c>
    </row>
    <row r="9" spans="1:4" ht="28.5" customHeight="1" thickBot="1" x14ac:dyDescent="0.3">
      <c r="A9" s="211"/>
      <c r="B9" s="202"/>
      <c r="C9" s="208"/>
      <c r="D9" s="208"/>
    </row>
    <row r="10" spans="1:4" ht="16.5" thickBot="1" x14ac:dyDescent="0.3">
      <c r="A10" s="70" t="s">
        <v>8</v>
      </c>
      <c r="B10" s="176">
        <v>-779769.14</v>
      </c>
      <c r="C10" s="72"/>
      <c r="D10" s="72"/>
    </row>
    <row r="11" spans="1:4" s="65" customFormat="1" ht="16.5" hidden="1" thickBot="1" x14ac:dyDescent="0.3">
      <c r="A11" s="131" t="s">
        <v>9</v>
      </c>
      <c r="B11" s="130"/>
      <c r="C11" s="74"/>
      <c r="D11" s="74"/>
    </row>
    <row r="12" spans="1:4" s="65" customFormat="1" ht="15.75" x14ac:dyDescent="0.25">
      <c r="A12" s="75" t="s">
        <v>10</v>
      </c>
      <c r="B12" s="177"/>
      <c r="C12" s="77" t="s">
        <v>11</v>
      </c>
      <c r="D12" s="133" t="s">
        <v>11</v>
      </c>
    </row>
    <row r="13" spans="1:4" s="65" customFormat="1" ht="15.75" hidden="1" x14ac:dyDescent="0.25">
      <c r="A13" s="134" t="s">
        <v>12</v>
      </c>
      <c r="B13" s="135">
        <v>491.8</v>
      </c>
      <c r="C13" s="82" t="s">
        <v>11</v>
      </c>
      <c r="D13" s="79" t="s">
        <v>11</v>
      </c>
    </row>
    <row r="14" spans="1:4" s="65" customFormat="1" ht="15.75" hidden="1" x14ac:dyDescent="0.25">
      <c r="A14" s="134" t="s">
        <v>13</v>
      </c>
      <c r="B14" s="135">
        <v>0</v>
      </c>
      <c r="C14" s="82"/>
      <c r="D14" s="79"/>
    </row>
    <row r="15" spans="1:4" s="65" customFormat="1" ht="15.75" hidden="1" x14ac:dyDescent="0.25">
      <c r="A15" s="78" t="s">
        <v>14</v>
      </c>
      <c r="B15" s="17">
        <f>B13+B14</f>
        <v>491.8</v>
      </c>
      <c r="C15" s="82"/>
      <c r="D15" s="79"/>
    </row>
    <row r="16" spans="1:4" s="65" customFormat="1" ht="15.75" hidden="1" x14ac:dyDescent="0.25">
      <c r="A16" s="78" t="s">
        <v>15</v>
      </c>
      <c r="B16" s="17">
        <f>329.8+396.4/3</f>
        <v>461.93333333333334</v>
      </c>
      <c r="C16" s="82" t="s">
        <v>11</v>
      </c>
      <c r="D16" s="79" t="s">
        <v>11</v>
      </c>
    </row>
    <row r="17" spans="1:7" s="65" customFormat="1" ht="15.75" hidden="1" x14ac:dyDescent="0.25">
      <c r="A17" s="134" t="s">
        <v>16</v>
      </c>
      <c r="B17" s="135">
        <v>0</v>
      </c>
      <c r="C17" s="82" t="s">
        <v>11</v>
      </c>
      <c r="D17" s="79" t="s">
        <v>11</v>
      </c>
    </row>
    <row r="18" spans="1:7" s="65" customFormat="1" ht="15.75" hidden="1" x14ac:dyDescent="0.25">
      <c r="A18" s="134" t="s">
        <v>17</v>
      </c>
      <c r="B18" s="135">
        <v>0</v>
      </c>
      <c r="C18" s="82" t="s">
        <v>11</v>
      </c>
      <c r="D18" s="79" t="s">
        <v>11</v>
      </c>
    </row>
    <row r="19" spans="1:7" s="65" customFormat="1" ht="15.75" hidden="1" x14ac:dyDescent="0.25">
      <c r="A19" s="134" t="s">
        <v>18</v>
      </c>
      <c r="B19" s="135">
        <v>0</v>
      </c>
      <c r="C19" s="82" t="s">
        <v>11</v>
      </c>
      <c r="D19" s="79" t="s">
        <v>11</v>
      </c>
    </row>
    <row r="20" spans="1:7" s="65" customFormat="1" ht="15.75" hidden="1" x14ac:dyDescent="0.25">
      <c r="A20" s="134" t="s">
        <v>19</v>
      </c>
      <c r="B20" s="135">
        <v>328.3</v>
      </c>
      <c r="C20" s="82"/>
      <c r="D20" s="79"/>
    </row>
    <row r="21" spans="1:7" s="65" customFormat="1" ht="15.75" hidden="1" x14ac:dyDescent="0.25">
      <c r="A21" s="134" t="s">
        <v>20</v>
      </c>
      <c r="B21" s="135">
        <v>0</v>
      </c>
      <c r="C21" s="82" t="s">
        <v>11</v>
      </c>
      <c r="D21" s="79" t="s">
        <v>11</v>
      </c>
    </row>
    <row r="22" spans="1:7" s="65" customFormat="1" ht="15.75" hidden="1" x14ac:dyDescent="0.25">
      <c r="A22" s="134" t="s">
        <v>21</v>
      </c>
      <c r="B22" s="135">
        <v>68</v>
      </c>
      <c r="C22" s="82"/>
      <c r="D22" s="79"/>
    </row>
    <row r="23" spans="1:7" s="65" customFormat="1" ht="15.75" x14ac:dyDescent="0.25">
      <c r="A23" s="78"/>
      <c r="B23" s="17"/>
      <c r="C23" s="82"/>
      <c r="D23" s="79"/>
      <c r="E23" s="65">
        <v>12</v>
      </c>
    </row>
    <row r="24" spans="1:7" ht="15.75" x14ac:dyDescent="0.25">
      <c r="A24" s="87" t="s">
        <v>153</v>
      </c>
      <c r="B24" s="24">
        <f>VLOOKUP(A5,Лист11!K:M,2,FALSE)</f>
        <v>104143.76</v>
      </c>
      <c r="C24" s="82"/>
      <c r="D24" s="79"/>
      <c r="E24" s="67">
        <v>17.779999910400001</v>
      </c>
      <c r="F24" s="65"/>
      <c r="G24" s="65"/>
    </row>
    <row r="25" spans="1:7" ht="15.75" x14ac:dyDescent="0.25">
      <c r="A25" s="87" t="s">
        <v>154</v>
      </c>
      <c r="B25" s="24">
        <f>VLOOKUP(A5,Лист11!K:M,3,FALSE)</f>
        <v>91450.96</v>
      </c>
      <c r="C25" s="82"/>
      <c r="D25" s="79"/>
      <c r="E25" s="65"/>
      <c r="F25" s="65"/>
      <c r="G25" s="65"/>
    </row>
    <row r="26" spans="1:7" s="65" customFormat="1" ht="15.75" hidden="1" x14ac:dyDescent="0.25">
      <c r="A26" s="87" t="s">
        <v>160</v>
      </c>
      <c r="B26" s="24"/>
      <c r="C26" s="82"/>
      <c r="D26" s="79"/>
    </row>
    <row r="27" spans="1:7" s="65" customFormat="1" ht="15.75" hidden="1" x14ac:dyDescent="0.25">
      <c r="A27" s="87" t="s">
        <v>91</v>
      </c>
      <c r="B27" s="24">
        <f>B26</f>
        <v>0</v>
      </c>
      <c r="C27" s="82"/>
      <c r="D27" s="79"/>
    </row>
    <row r="28" spans="1:7" ht="15.75" x14ac:dyDescent="0.25">
      <c r="A28" s="87" t="s">
        <v>25</v>
      </c>
      <c r="B28" s="24">
        <v>1510.2</v>
      </c>
      <c r="C28" s="82"/>
      <c r="D28" s="79"/>
      <c r="E28" s="65"/>
      <c r="F28" s="65"/>
      <c r="G28" s="65"/>
    </row>
    <row r="29" spans="1:7" s="65" customFormat="1" ht="15.75" x14ac:dyDescent="0.25">
      <c r="A29" s="87" t="s">
        <v>26</v>
      </c>
      <c r="B29" s="17"/>
      <c r="C29" s="82"/>
      <c r="D29" s="79"/>
    </row>
    <row r="30" spans="1:7" ht="15.75" x14ac:dyDescent="0.25">
      <c r="A30" s="89"/>
      <c r="B30" s="17"/>
      <c r="C30" s="82"/>
      <c r="D30" s="79"/>
      <c r="E30" s="65"/>
      <c r="F30" s="65"/>
      <c r="G30" s="65"/>
    </row>
    <row r="31" spans="1:7" ht="15.75" x14ac:dyDescent="0.25">
      <c r="A31" s="90" t="s">
        <v>27</v>
      </c>
      <c r="B31" s="17"/>
      <c r="C31" s="82"/>
      <c r="D31" s="79"/>
      <c r="E31" s="65"/>
      <c r="F31" s="65"/>
      <c r="G31" s="65"/>
    </row>
    <row r="32" spans="1:7" s="141" customFormat="1" ht="31.5" x14ac:dyDescent="0.25">
      <c r="A32" s="91" t="s">
        <v>28</v>
      </c>
      <c r="B32" s="29">
        <f>SUM(B33:B41)</f>
        <v>58751.89</v>
      </c>
      <c r="C32" s="82"/>
      <c r="D32" s="79"/>
      <c r="E32" s="140">
        <f>(B24-B77)/1.2/1.03</f>
        <v>-105605.47409838186</v>
      </c>
      <c r="F32" s="140" t="e">
        <f>(#REF!-#REF!)/1.2/1.03</f>
        <v>#REF!</v>
      </c>
      <c r="G32" s="140" t="e">
        <f>(#REF!-#REF!)/1.2/1.03</f>
        <v>#REF!</v>
      </c>
    </row>
    <row r="33" spans="1:7" ht="15.75" x14ac:dyDescent="0.25">
      <c r="A33" s="33" t="s">
        <v>29</v>
      </c>
      <c r="B33" s="17">
        <v>11000</v>
      </c>
      <c r="C33" s="82"/>
      <c r="D33" s="79">
        <v>7970.81</v>
      </c>
      <c r="E33" s="183">
        <v>11258.97</v>
      </c>
      <c r="F33" s="65"/>
      <c r="G33" s="65"/>
    </row>
    <row r="34" spans="1:7" ht="15.75" hidden="1" x14ac:dyDescent="0.25">
      <c r="A34" s="142" t="s">
        <v>31</v>
      </c>
      <c r="B34" s="135"/>
      <c r="C34" s="136"/>
      <c r="D34" s="162">
        <v>0</v>
      </c>
      <c r="E34" s="129"/>
      <c r="F34" s="129"/>
      <c r="G34" s="129"/>
    </row>
    <row r="35" spans="1:7" ht="15.75" hidden="1" x14ac:dyDescent="0.25">
      <c r="A35" s="33" t="s">
        <v>32</v>
      </c>
      <c r="B35" s="17"/>
      <c r="C35" s="82"/>
      <c r="D35" s="79">
        <v>0</v>
      </c>
      <c r="E35" s="65"/>
      <c r="F35" s="65"/>
      <c r="G35" s="65"/>
    </row>
    <row r="36" spans="1:7" ht="15.75" x14ac:dyDescent="0.25">
      <c r="A36" s="33" t="s">
        <v>169</v>
      </c>
      <c r="B36" s="17">
        <v>47751.89</v>
      </c>
      <c r="C36" s="82" t="s">
        <v>11</v>
      </c>
      <c r="D36" s="79">
        <v>0</v>
      </c>
      <c r="E36" s="65"/>
      <c r="F36" s="65"/>
      <c r="G36" s="65"/>
    </row>
    <row r="37" spans="1:7" s="65" customFormat="1" ht="15.75" hidden="1" x14ac:dyDescent="0.25">
      <c r="A37" s="184" t="s">
        <v>170</v>
      </c>
      <c r="B37" s="185"/>
      <c r="C37" s="82"/>
      <c r="D37" s="79">
        <v>0</v>
      </c>
    </row>
    <row r="38" spans="1:7" s="65" customFormat="1" ht="15.75" hidden="1" x14ac:dyDescent="0.25">
      <c r="A38" s="33" t="s">
        <v>34</v>
      </c>
      <c r="B38" s="163">
        <v>0</v>
      </c>
      <c r="C38" s="82"/>
      <c r="D38" s="79">
        <v>0</v>
      </c>
    </row>
    <row r="39" spans="1:7" s="65" customFormat="1" ht="15.75" hidden="1" x14ac:dyDescent="0.25">
      <c r="A39" s="33" t="s">
        <v>162</v>
      </c>
      <c r="B39" s="17">
        <v>0</v>
      </c>
      <c r="C39" s="82"/>
      <c r="D39" s="79">
        <v>0</v>
      </c>
    </row>
    <row r="40" spans="1:7" s="65" customFormat="1" ht="15.75" hidden="1" x14ac:dyDescent="0.25">
      <c r="A40" s="33" t="s">
        <v>92</v>
      </c>
      <c r="B40" s="17">
        <v>0</v>
      </c>
      <c r="C40" s="82"/>
      <c r="D40" s="79"/>
    </row>
    <row r="41" spans="1:7" s="65" customFormat="1" ht="15.75" hidden="1" x14ac:dyDescent="0.25">
      <c r="A41" s="33" t="s">
        <v>108</v>
      </c>
      <c r="B41" s="17">
        <v>0</v>
      </c>
      <c r="C41" s="82"/>
      <c r="D41" s="79"/>
    </row>
    <row r="42" spans="1:7" s="141" customFormat="1" ht="47.25" x14ac:dyDescent="0.25">
      <c r="A42" s="91" t="s">
        <v>102</v>
      </c>
      <c r="B42" s="29">
        <f>SUM(B43:B45)</f>
        <v>61676.629199999996</v>
      </c>
      <c r="C42" s="82"/>
      <c r="D42" s="79"/>
      <c r="E42" s="140"/>
      <c r="F42" s="140"/>
      <c r="G42" s="140"/>
    </row>
    <row r="43" spans="1:7" ht="15.75" x14ac:dyDescent="0.25">
      <c r="A43" s="33" t="s">
        <v>38</v>
      </c>
      <c r="B43" s="17">
        <v>8541.2900000000009</v>
      </c>
      <c r="C43" s="80"/>
      <c r="D43" s="92"/>
      <c r="E43" s="65"/>
      <c r="F43" s="65"/>
      <c r="G43" s="65"/>
    </row>
    <row r="44" spans="1:7" ht="15.75" x14ac:dyDescent="0.25">
      <c r="A44" s="33" t="s">
        <v>39</v>
      </c>
      <c r="B44" s="17">
        <v>49963.639999999992</v>
      </c>
      <c r="C44" s="80"/>
      <c r="D44" s="92"/>
      <c r="E44" s="65"/>
      <c r="F44" s="65"/>
      <c r="G44" s="65"/>
    </row>
    <row r="45" spans="1:7" ht="15.75" x14ac:dyDescent="0.25">
      <c r="A45" s="44" t="s">
        <v>40</v>
      </c>
      <c r="B45" s="17">
        <f>2896*1.0952</f>
        <v>3171.6992</v>
      </c>
      <c r="C45" s="80"/>
      <c r="D45" s="92"/>
      <c r="E45" s="65"/>
      <c r="F45" s="65"/>
      <c r="G45" s="65"/>
    </row>
    <row r="46" spans="1:7" s="3" customFormat="1" ht="15.75" x14ac:dyDescent="0.25">
      <c r="A46" s="91" t="s">
        <v>41</v>
      </c>
      <c r="B46" s="29">
        <f>SUM(B47:B58)</f>
        <v>11083.29</v>
      </c>
      <c r="C46" s="82"/>
      <c r="D46" s="79"/>
    </row>
    <row r="47" spans="1:7" ht="15.75" x14ac:dyDescent="0.25">
      <c r="A47" s="93" t="s">
        <v>51</v>
      </c>
      <c r="B47" s="17">
        <v>10300</v>
      </c>
      <c r="C47" s="82">
        <v>1</v>
      </c>
      <c r="D47" s="95">
        <v>700.55</v>
      </c>
      <c r="E47" s="65"/>
      <c r="F47" s="65"/>
      <c r="G47" s="65"/>
    </row>
    <row r="48" spans="1:7" s="65" customFormat="1" ht="15.75" hidden="1" x14ac:dyDescent="0.25">
      <c r="A48" s="93" t="s">
        <v>52</v>
      </c>
      <c r="B48" s="17">
        <v>0</v>
      </c>
      <c r="C48" s="82"/>
      <c r="D48" s="95"/>
    </row>
    <row r="49" spans="1:5" ht="15.75" hidden="1" x14ac:dyDescent="0.25">
      <c r="A49" s="93" t="s">
        <v>150</v>
      </c>
      <c r="B49" s="17"/>
      <c r="C49" s="82">
        <v>0</v>
      </c>
      <c r="D49" s="79">
        <f>10695.76/1.18</f>
        <v>9064.203389830509</v>
      </c>
      <c r="E49" s="65"/>
    </row>
    <row r="50" spans="1:5" ht="15.75" hidden="1" x14ac:dyDescent="0.25">
      <c r="A50" s="145" t="s">
        <v>134</v>
      </c>
      <c r="B50" s="135"/>
      <c r="C50" s="136">
        <v>0</v>
      </c>
      <c r="D50" s="162">
        <f>2300/1.18</f>
        <v>1949.1525423728815</v>
      </c>
      <c r="E50" s="129"/>
    </row>
    <row r="51" spans="1:5" ht="15.75" hidden="1" x14ac:dyDescent="0.25">
      <c r="A51" s="145" t="s">
        <v>163</v>
      </c>
      <c r="B51" s="135"/>
      <c r="C51" s="136">
        <v>0</v>
      </c>
      <c r="D51" s="162">
        <v>0</v>
      </c>
      <c r="E51" s="129"/>
    </row>
    <row r="52" spans="1:5" ht="15.75" hidden="1" x14ac:dyDescent="0.25">
      <c r="A52" s="93" t="s">
        <v>417</v>
      </c>
      <c r="B52" s="17"/>
      <c r="C52" s="82"/>
      <c r="D52" s="79"/>
      <c r="E52" s="65"/>
    </row>
    <row r="53" spans="1:5" s="65" customFormat="1" ht="15.75" hidden="1" x14ac:dyDescent="0.25">
      <c r="A53" s="33" t="s">
        <v>57</v>
      </c>
      <c r="B53" s="17">
        <v>0</v>
      </c>
      <c r="C53" s="82"/>
      <c r="D53" s="79"/>
    </row>
    <row r="54" spans="1:5" ht="15.75" hidden="1" x14ac:dyDescent="0.25">
      <c r="A54" s="142" t="s">
        <v>171</v>
      </c>
      <c r="B54" s="135"/>
      <c r="C54" s="136"/>
      <c r="D54" s="162">
        <v>16400</v>
      </c>
      <c r="E54" s="129"/>
    </row>
    <row r="55" spans="1:5" ht="15.75" hidden="1" x14ac:dyDescent="0.25">
      <c r="A55" s="142" t="s">
        <v>172</v>
      </c>
      <c r="B55" s="135"/>
      <c r="C55" s="136"/>
      <c r="D55" s="162">
        <v>0</v>
      </c>
      <c r="E55" s="129"/>
    </row>
    <row r="56" spans="1:5" s="65" customFormat="1" ht="15.75" hidden="1" x14ac:dyDescent="0.25">
      <c r="A56" s="33" t="s">
        <v>60</v>
      </c>
      <c r="B56" s="146">
        <v>0</v>
      </c>
      <c r="C56" s="147">
        <v>1</v>
      </c>
      <c r="D56" s="79">
        <v>0</v>
      </c>
    </row>
    <row r="57" spans="1:5" s="65" customFormat="1" ht="15.75" x14ac:dyDescent="0.25">
      <c r="A57" s="33" t="s">
        <v>61</v>
      </c>
      <c r="B57" s="17">
        <v>783.29000000000008</v>
      </c>
      <c r="C57" s="147">
        <v>29</v>
      </c>
      <c r="D57" s="79">
        <v>0.5</v>
      </c>
      <c r="E57" s="65">
        <v>0</v>
      </c>
    </row>
    <row r="58" spans="1:5" ht="15.75" hidden="1" x14ac:dyDescent="0.25">
      <c r="A58" s="142" t="s">
        <v>173</v>
      </c>
      <c r="B58" s="165"/>
      <c r="C58" s="166"/>
      <c r="D58" s="164">
        <v>0</v>
      </c>
      <c r="E58" s="129"/>
    </row>
    <row r="59" spans="1:5" s="3" customFormat="1" ht="15.75" x14ac:dyDescent="0.25">
      <c r="A59" s="99" t="s">
        <v>63</v>
      </c>
      <c r="B59" s="29">
        <f>SUM(B60:B65)</f>
        <v>36610.728000000003</v>
      </c>
      <c r="C59" s="80"/>
      <c r="D59" s="92"/>
    </row>
    <row r="60" spans="1:5" s="65" customFormat="1" ht="15.75" hidden="1" x14ac:dyDescent="0.25">
      <c r="A60" s="33" t="s">
        <v>64</v>
      </c>
      <c r="B60" s="17">
        <v>0</v>
      </c>
      <c r="C60" s="80"/>
      <c r="D60" s="92"/>
    </row>
    <row r="61" spans="1:5" ht="15.75" x14ac:dyDescent="0.25">
      <c r="A61" s="33" t="s">
        <v>65</v>
      </c>
      <c r="B61" s="17">
        <f>18951*1.0952</f>
        <v>20755.135200000001</v>
      </c>
      <c r="C61" s="80"/>
      <c r="D61" s="92"/>
      <c r="E61" s="65"/>
    </row>
    <row r="62" spans="1:5" ht="15.75" x14ac:dyDescent="0.25">
      <c r="A62" s="44" t="s">
        <v>68</v>
      </c>
      <c r="B62" s="17">
        <f>5.1*B15</f>
        <v>2508.1799999999998</v>
      </c>
      <c r="C62" s="80"/>
      <c r="D62" s="92"/>
      <c r="E62" s="65"/>
    </row>
    <row r="63" spans="1:5" ht="15.75" x14ac:dyDescent="0.25">
      <c r="A63" s="44" t="s">
        <v>69</v>
      </c>
      <c r="B63" s="17">
        <f>17.7*B15</f>
        <v>8704.86</v>
      </c>
      <c r="C63" s="80"/>
      <c r="D63" s="92"/>
      <c r="E63" s="65"/>
    </row>
    <row r="64" spans="1:5" ht="15.75" x14ac:dyDescent="0.25">
      <c r="A64" s="44" t="s">
        <v>70</v>
      </c>
      <c r="B64" s="17">
        <f>541*1.0952</f>
        <v>592.50319999999999</v>
      </c>
      <c r="C64" s="80"/>
      <c r="D64" s="92"/>
      <c r="E64" s="65"/>
    </row>
    <row r="65" spans="1:4" ht="15.75" x14ac:dyDescent="0.25">
      <c r="A65" s="44" t="s">
        <v>71</v>
      </c>
      <c r="B65" s="17">
        <f>3698*1.0952</f>
        <v>4050.0495999999998</v>
      </c>
      <c r="C65" s="80"/>
      <c r="D65" s="92"/>
    </row>
    <row r="66" spans="1:4" ht="63" x14ac:dyDescent="0.25">
      <c r="A66" s="101" t="s">
        <v>164</v>
      </c>
      <c r="B66" s="29">
        <f>SUM(B67:B67)</f>
        <v>17508.9624</v>
      </c>
      <c r="C66" s="80"/>
      <c r="D66" s="92"/>
    </row>
    <row r="67" spans="1:4" ht="15.75" x14ac:dyDescent="0.25">
      <c r="A67" s="44" t="s">
        <v>73</v>
      </c>
      <c r="B67" s="17">
        <f>15987*1.0952</f>
        <v>17508.9624</v>
      </c>
      <c r="C67" s="80"/>
      <c r="D67" s="92"/>
    </row>
    <row r="68" spans="1:4" s="3" customFormat="1" ht="31.5" x14ac:dyDescent="0.25">
      <c r="A68" s="99" t="s">
        <v>74</v>
      </c>
      <c r="B68" s="29">
        <f>SUM(B69:B72)</f>
        <v>4232.68</v>
      </c>
      <c r="C68" s="80"/>
      <c r="D68" s="92"/>
    </row>
    <row r="69" spans="1:4" ht="15.75" hidden="1" x14ac:dyDescent="0.25">
      <c r="A69" s="151" t="s">
        <v>165</v>
      </c>
      <c r="B69" s="135"/>
      <c r="C69" s="143"/>
      <c r="D69" s="164"/>
    </row>
    <row r="70" spans="1:4" s="65" customFormat="1" ht="15.75" hidden="1" x14ac:dyDescent="0.25">
      <c r="A70" s="47" t="s">
        <v>76</v>
      </c>
      <c r="B70" s="17">
        <f>(B26/1.2)*30%</f>
        <v>0</v>
      </c>
      <c r="C70" s="80"/>
      <c r="D70" s="92"/>
    </row>
    <row r="71" spans="1:4" ht="15.75" x14ac:dyDescent="0.25">
      <c r="A71" s="174" t="s">
        <v>166</v>
      </c>
      <c r="B71" s="17">
        <v>2992.68</v>
      </c>
      <c r="C71" s="80"/>
      <c r="D71" s="92"/>
    </row>
    <row r="72" spans="1:4" ht="15.75" x14ac:dyDescent="0.25">
      <c r="A72" s="174" t="s">
        <v>167</v>
      </c>
      <c r="B72" s="17">
        <v>1240</v>
      </c>
      <c r="C72" s="80"/>
      <c r="D72" s="92"/>
    </row>
    <row r="73" spans="1:4" ht="15.75" x14ac:dyDescent="0.25">
      <c r="A73" s="103" t="s">
        <v>79</v>
      </c>
      <c r="B73" s="24">
        <f>B32+B42+B46+B59+B66+B68</f>
        <v>189864.17959999997</v>
      </c>
      <c r="C73" s="80"/>
      <c r="D73" s="92"/>
    </row>
    <row r="74" spans="1:4" ht="15.75" x14ac:dyDescent="0.25">
      <c r="A74" s="104" t="s">
        <v>80</v>
      </c>
      <c r="B74" s="17">
        <f>B73*0.03</f>
        <v>5695.9253879999987</v>
      </c>
      <c r="C74" s="80"/>
      <c r="D74" s="92"/>
    </row>
    <row r="75" spans="1:4" s="141" customFormat="1" ht="15.75" x14ac:dyDescent="0.25">
      <c r="A75" s="105" t="s">
        <v>81</v>
      </c>
      <c r="B75" s="29">
        <f>B73+B74</f>
        <v>195560.10498799998</v>
      </c>
      <c r="C75" s="80"/>
      <c r="D75" s="92"/>
    </row>
    <row r="76" spans="1:4" ht="16.5" thickBot="1" x14ac:dyDescent="0.3">
      <c r="A76" s="106" t="s">
        <v>82</v>
      </c>
      <c r="B76" s="53">
        <f>B75*0.2</f>
        <v>39112.020997599997</v>
      </c>
      <c r="C76" s="80"/>
      <c r="D76" s="92"/>
    </row>
    <row r="77" spans="1:4" s="3" customFormat="1" ht="16.5" thickBot="1" x14ac:dyDescent="0.3">
      <c r="A77" s="107" t="s">
        <v>83</v>
      </c>
      <c r="B77" s="55">
        <f>B75+B76</f>
        <v>234672.12598559997</v>
      </c>
      <c r="C77" s="108"/>
      <c r="D77" s="76"/>
    </row>
    <row r="78" spans="1:4" s="3" customFormat="1" ht="16.5" thickBot="1" x14ac:dyDescent="0.3">
      <c r="A78" s="109" t="s">
        <v>84</v>
      </c>
      <c r="B78" s="55">
        <f>B10+B24+B26+B28+B29-B77</f>
        <v>-908787.30598559999</v>
      </c>
      <c r="C78" s="111"/>
      <c r="D78" s="111"/>
    </row>
    <row r="79" spans="1:4" s="3" customFormat="1" ht="16.5" hidden="1" thickBot="1" x14ac:dyDescent="0.3">
      <c r="A79" s="112" t="s">
        <v>85</v>
      </c>
      <c r="B79" s="55"/>
      <c r="C79" s="111"/>
      <c r="D79" s="111"/>
    </row>
    <row r="80" spans="1:4" s="3" customFormat="1" ht="16.5" hidden="1" thickBot="1" x14ac:dyDescent="0.3">
      <c r="A80" s="167" t="s">
        <v>86</v>
      </c>
      <c r="B80" s="55"/>
      <c r="C80" s="111"/>
      <c r="D80" s="111"/>
    </row>
    <row r="81" spans="1:4" s="3" customFormat="1" ht="15.75" x14ac:dyDescent="0.25">
      <c r="A81" s="115"/>
      <c r="B81" s="64"/>
      <c r="C81" s="111"/>
      <c r="D81" s="111"/>
    </row>
    <row r="82" spans="1:4" ht="15.75" x14ac:dyDescent="0.25">
      <c r="A82" s="128"/>
      <c r="B82" s="65"/>
      <c r="C82" s="65"/>
      <c r="D82" s="65"/>
    </row>
    <row r="83" spans="1:4" ht="15.75" x14ac:dyDescent="0.25">
      <c r="A83" s="193" t="s">
        <v>414</v>
      </c>
      <c r="B83" s="193"/>
      <c r="C83" s="65"/>
      <c r="D83" s="65"/>
    </row>
    <row r="84" spans="1:4" ht="15.75" x14ac:dyDescent="0.25">
      <c r="A84" s="128"/>
      <c r="B84" s="161"/>
      <c r="C84" s="65"/>
      <c r="D84" s="65"/>
    </row>
    <row r="85" spans="1:4" ht="15.75" x14ac:dyDescent="0.25">
      <c r="A85" s="209"/>
      <c r="B85" s="209"/>
      <c r="C85" s="161"/>
      <c r="D85" s="65"/>
    </row>
    <row r="89" spans="1:4" ht="15.75" hidden="1" x14ac:dyDescent="0.25">
      <c r="A89" s="129"/>
      <c r="B89" s="129"/>
      <c r="C89" s="129"/>
      <c r="D89" s="129"/>
    </row>
    <row r="90" spans="1:4" ht="15.75" x14ac:dyDescent="0.25">
      <c r="A90" s="65"/>
      <c r="B90" s="65"/>
      <c r="C90" s="65"/>
      <c r="D90" s="65"/>
    </row>
  </sheetData>
  <autoFilter ref="A32:B80" xr:uid="{00000000-0009-0000-0000-000009000000}">
    <filterColumn colId="1">
      <filters>
        <filter val="1 240,00"/>
        <filter val="10 300,00"/>
        <filter val="11 000,00"/>
        <filter val="11 083,29"/>
        <filter val="17 508,96"/>
        <filter val="189 864,18"/>
        <filter val="195 560,10"/>
        <filter val="2 508,18"/>
        <filter val="2 992,68"/>
        <filter val="20 755,14"/>
        <filter val="234 672,13"/>
        <filter val="3 171,70"/>
        <filter val="36 610,73"/>
        <filter val="39 112,02"/>
        <filter val="4 050,05"/>
        <filter val="4 232,68"/>
        <filter val="47 751,89"/>
        <filter val="49 963,64"/>
        <filter val="5 695,93"/>
        <filter val="592,50"/>
        <filter val="61 676,63"/>
        <filter val="783,29"/>
        <filter val="8 541,29"/>
        <filter val="8 704,86"/>
        <filter val="-908 787,31"/>
      </filters>
    </filterColumn>
  </autoFilter>
  <mergeCells count="9">
    <mergeCell ref="D8:D9"/>
    <mergeCell ref="A83:B83"/>
    <mergeCell ref="A85:B85"/>
    <mergeCell ref="A1:B1"/>
    <mergeCell ref="A2:B2"/>
    <mergeCell ref="A3:B3"/>
    <mergeCell ref="A8:A9"/>
    <mergeCell ref="B8:B9"/>
    <mergeCell ref="C8:C9"/>
  </mergeCells>
  <pageMargins left="0.9055118110236221" right="0.9055118110236221" top="0.74803149606299213" bottom="0.74803149606299213" header="0.31496062992125984" footer="0.31496062992125984"/>
  <pageSetup paperSize="9" scale="8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B33" sqref="B33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140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-11141.291466976099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100.8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100.8</v>
      </c>
      <c r="C15" s="20"/>
      <c r="D15" s="21"/>
    </row>
    <row r="16" spans="1:4" ht="16.5" hidden="1" thickBot="1" x14ac:dyDescent="0.3">
      <c r="A16" s="16" t="s">
        <v>15</v>
      </c>
      <c r="B16" s="17">
        <f>131.88+83.34/3</f>
        <v>159.66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157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3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22876.52</v>
      </c>
      <c r="C24" s="18"/>
      <c r="D24" s="21"/>
      <c r="E24" s="67">
        <v>16.510000049999999</v>
      </c>
      <c r="F24" s="68">
        <v>18.481294055969997</v>
      </c>
      <c r="G24" s="1"/>
    </row>
    <row r="25" spans="1:7" ht="16.5" thickBot="1" x14ac:dyDescent="0.3">
      <c r="A25" s="23">
        <v>0</v>
      </c>
      <c r="B25" s="24">
        <f>VLOOKUP(A5,Лист11!K:M,3,FALSE)</f>
        <v>22835.69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hidden="1" thickBot="1" x14ac:dyDescent="0.3">
      <c r="A28" s="23" t="s">
        <v>25</v>
      </c>
      <c r="B28" s="24">
        <v>0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8000</v>
      </c>
      <c r="C32" s="18"/>
      <c r="D32" s="21"/>
      <c r="E32" s="30">
        <f>(B86-B26-B24)/1.2/1.03</f>
        <v>23157.369273980767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8000</v>
      </c>
      <c r="C33" s="22"/>
      <c r="D33" s="21">
        <v>2078.83</v>
      </c>
      <c r="E33" s="1"/>
      <c r="F33" s="1"/>
      <c r="G33" s="1"/>
    </row>
    <row r="34" spans="1:7" ht="16.5" hidden="1" thickBot="1" x14ac:dyDescent="0.3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6.5" hidden="1" thickBot="1" x14ac:dyDescent="0.3">
      <c r="A35" s="32" t="s">
        <v>31</v>
      </c>
      <c r="B35" s="17">
        <v>0</v>
      </c>
      <c r="C35" s="21"/>
      <c r="D35" s="18">
        <v>0</v>
      </c>
      <c r="E35" s="1"/>
      <c r="F35" s="1"/>
      <c r="G35" s="1"/>
    </row>
    <row r="36" spans="1:7" ht="16.5" hidden="1" thickBot="1" x14ac:dyDescent="0.3">
      <c r="A36" s="32" t="s">
        <v>32</v>
      </c>
      <c r="B36" s="17">
        <v>0</v>
      </c>
      <c r="C36" s="21" t="s">
        <v>11</v>
      </c>
      <c r="D36" s="18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hidden="1" thickBot="1" x14ac:dyDescent="0.3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19081.601975560712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18106.05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('[1]34тарифы'!D163*B15+260.95)*1.1194*1.0952</f>
        <v>975.55197556071289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162.06</v>
      </c>
      <c r="C46" s="14"/>
      <c r="D46" s="21"/>
    </row>
    <row r="47" spans="1:7" ht="15.75" hidden="1" x14ac:dyDescent="0.25">
      <c r="A47" s="32" t="s">
        <v>42</v>
      </c>
      <c r="B47" s="17"/>
      <c r="C47" s="15"/>
      <c r="D47" s="18"/>
      <c r="E47" s="1" t="s">
        <v>43</v>
      </c>
      <c r="F47" s="1"/>
      <c r="G47" s="1"/>
    </row>
    <row r="48" spans="1:7" ht="15.75" hidden="1" x14ac:dyDescent="0.25">
      <c r="A48" s="32" t="s">
        <v>44</v>
      </c>
      <c r="B48" s="17">
        <v>0</v>
      </c>
      <c r="C48" s="21"/>
      <c r="D48" s="18"/>
      <c r="E48" s="1" t="s">
        <v>45</v>
      </c>
      <c r="F48" s="1"/>
      <c r="G48" s="1"/>
    </row>
    <row r="49" spans="1:4" ht="16.5" thickBot="1" x14ac:dyDescent="0.3">
      <c r="A49" s="36" t="s">
        <v>95</v>
      </c>
      <c r="B49" s="17">
        <v>162.06</v>
      </c>
      <c r="C49" s="21"/>
      <c r="D49" s="18"/>
    </row>
    <row r="50" spans="1:4" ht="16.5" hidden="1" thickBot="1" x14ac:dyDescent="0.3">
      <c r="A50" s="36" t="s">
        <v>46</v>
      </c>
      <c r="B50" s="17"/>
      <c r="C50" s="21"/>
      <c r="D50" s="18">
        <v>4190</v>
      </c>
    </row>
    <row r="51" spans="1:4" ht="16.5" hidden="1" thickBot="1" x14ac:dyDescent="0.3">
      <c r="A51" s="36" t="s">
        <v>93</v>
      </c>
      <c r="B51" s="17">
        <v>0</v>
      </c>
      <c r="C51" s="21"/>
      <c r="D51" s="18"/>
    </row>
    <row r="52" spans="1:4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</row>
    <row r="53" spans="1:4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</row>
    <row r="54" spans="1:4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</row>
    <row r="55" spans="1:4" ht="16.5" hidden="1" thickBot="1" x14ac:dyDescent="0.3">
      <c r="A55" s="36" t="s">
        <v>52</v>
      </c>
      <c r="B55" s="17">
        <v>0</v>
      </c>
      <c r="C55" s="21"/>
      <c r="D55" s="37"/>
    </row>
    <row r="56" spans="1:4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</row>
    <row r="57" spans="1:4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</row>
    <row r="58" spans="1:4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</row>
    <row r="59" spans="1:4" ht="16.5" hidden="1" thickBot="1" x14ac:dyDescent="0.3">
      <c r="A59" s="36" t="s">
        <v>56</v>
      </c>
      <c r="B59" s="17">
        <f>B13*'[1]34тарифы'!D184</f>
        <v>0</v>
      </c>
      <c r="C59" s="14"/>
      <c r="D59" s="21"/>
    </row>
    <row r="60" spans="1:4" ht="16.5" hidden="1" thickBot="1" x14ac:dyDescent="0.3">
      <c r="A60" s="32" t="s">
        <v>57</v>
      </c>
      <c r="B60" s="17">
        <v>0</v>
      </c>
      <c r="C60" s="15"/>
      <c r="D60" s="18"/>
    </row>
    <row r="61" spans="1:4" ht="16.5" hidden="1" thickBot="1" x14ac:dyDescent="0.3">
      <c r="A61" s="32" t="s">
        <v>58</v>
      </c>
      <c r="B61" s="17">
        <v>0</v>
      </c>
      <c r="C61" s="21"/>
      <c r="D61" s="18">
        <v>0</v>
      </c>
    </row>
    <row r="62" spans="1:4" ht="16.5" hidden="1" thickBot="1" x14ac:dyDescent="0.3">
      <c r="A62" s="32" t="s">
        <v>94</v>
      </c>
      <c r="B62" s="17">
        <v>0</v>
      </c>
      <c r="C62" s="21"/>
      <c r="D62" s="18">
        <v>0</v>
      </c>
    </row>
    <row r="63" spans="1:4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</row>
    <row r="64" spans="1:4" ht="16.5" hidden="1" thickBot="1" x14ac:dyDescent="0.3">
      <c r="A64" s="32" t="s">
        <v>61</v>
      </c>
      <c r="B64" s="38">
        <v>0</v>
      </c>
      <c r="C64" s="40">
        <v>2</v>
      </c>
      <c r="D64" s="2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10239.330585821212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5703*1.1194*1.0952</f>
        <v>6991.6891166399992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514.07999999999993</v>
      </c>
      <c r="C71" s="43"/>
      <c r="D71" s="19"/>
    </row>
    <row r="72" spans="1:4" ht="15.75" x14ac:dyDescent="0.25">
      <c r="A72" s="35" t="s">
        <v>69</v>
      </c>
      <c r="B72" s="17">
        <f>17.7*B15</f>
        <v>1784.1599999999999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112.49153739049336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836.9099317907187</v>
      </c>
      <c r="C74" s="34"/>
      <c r="D74" s="19"/>
    </row>
    <row r="75" spans="1:4" ht="63" x14ac:dyDescent="0.25">
      <c r="A75" s="45" t="s">
        <v>72</v>
      </c>
      <c r="B75" s="29">
        <f>SUM(B76:B76)</f>
        <v>3755.0281845803784</v>
      </c>
      <c r="C75" s="34"/>
      <c r="D75" s="19"/>
    </row>
    <row r="76" spans="1:4" ht="15.75" x14ac:dyDescent="0.25">
      <c r="A76" s="35" t="s">
        <v>73</v>
      </c>
      <c r="B76" s="17">
        <f>'[1]34ОЭР'!D78*1.1194*1.0952</f>
        <v>3755.0281845803784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427.85985487931288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206.4</v>
      </c>
      <c r="C80" s="43"/>
      <c r="D80" s="19"/>
    </row>
    <row r="81" spans="1:4" ht="15.75" x14ac:dyDescent="0.25">
      <c r="A81" s="48" t="s">
        <v>78</v>
      </c>
      <c r="B81" s="17">
        <f>'[1]34тарифы'!D173*B13*1.1194</f>
        <v>221.45985487931287</v>
      </c>
      <c r="C81" s="34"/>
      <c r="D81" s="19"/>
    </row>
    <row r="82" spans="1:4" ht="15.75" x14ac:dyDescent="0.25">
      <c r="A82" s="49" t="s">
        <v>79</v>
      </c>
      <c r="B82" s="24">
        <f>B32+B42+B46+B66+B75+B77</f>
        <v>41665.880600841614</v>
      </c>
      <c r="C82" s="34"/>
      <c r="D82" s="19"/>
    </row>
    <row r="83" spans="1:4" ht="15.75" x14ac:dyDescent="0.25">
      <c r="A83" s="50" t="s">
        <v>80</v>
      </c>
      <c r="B83" s="17">
        <f>B82*0.03</f>
        <v>1249.9764180252484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42915.85701886686</v>
      </c>
      <c r="C84" s="34"/>
      <c r="D84" s="19"/>
    </row>
    <row r="85" spans="1:4" ht="16.5" thickBot="1" x14ac:dyDescent="0.3">
      <c r="A85" s="52" t="s">
        <v>82</v>
      </c>
      <c r="B85" s="53">
        <f>B84*0.2</f>
        <v>8583.1714037733727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51499.028422640229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-39763.799889616326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0A000000}">
    <filterColumn colId="1">
      <filters>
        <filter val="1 249,98"/>
        <filter val="1 784,16"/>
        <filter val="10 239,33"/>
        <filter val="112,49"/>
        <filter val="162,06"/>
        <filter val="18 106,05"/>
        <filter val="19 081,60"/>
        <filter val="206,40"/>
        <filter val="221,46"/>
        <filter val="3 755,03"/>
        <filter val="-39 763,80"/>
        <filter val="41 665,88"/>
        <filter val="42 915,86"/>
        <filter val="427,86"/>
        <filter val="51 499,03"/>
        <filter val="514,08"/>
        <filter val="6 991,69"/>
        <filter val="8 000,00"/>
        <filter val="8 583,17"/>
        <filter val="836,91"/>
        <filter val="975,55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139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-2677.5136327080891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95.2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95.2</v>
      </c>
      <c r="C15" s="20"/>
      <c r="D15" s="21"/>
    </row>
    <row r="16" spans="1:4" ht="16.5" hidden="1" thickBot="1" x14ac:dyDescent="0.3">
      <c r="A16" s="16" t="s">
        <v>15</v>
      </c>
      <c r="B16" s="17">
        <f>131.88+83.34/3</f>
        <v>159.66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222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9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23986.62</v>
      </c>
      <c r="C24" s="18"/>
      <c r="D24" s="21"/>
      <c r="E24" s="67">
        <v>18.530000017900001</v>
      </c>
      <c r="F24" s="68">
        <v>20.742482020037261</v>
      </c>
      <c r="G24" s="1"/>
    </row>
    <row r="25" spans="1:7" ht="16.5" thickBot="1" x14ac:dyDescent="0.3">
      <c r="A25" s="23">
        <v>0</v>
      </c>
      <c r="B25" s="24">
        <f>VLOOKUP(A5,Лист11!K:M,3,FALSE)</f>
        <v>23885.75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hidden="1" thickBot="1" x14ac:dyDescent="0.3">
      <c r="A28" s="23" t="s">
        <v>25</v>
      </c>
      <c r="B28" s="24">
        <v>0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9000</v>
      </c>
      <c r="C32" s="18"/>
      <c r="D32" s="21"/>
      <c r="E32" s="30">
        <f>(B86-B26-B24)/1.2/1.03</f>
        <v>4909.2201708005441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9000</v>
      </c>
      <c r="C33" s="22"/>
      <c r="D33" s="21">
        <v>2078.83</v>
      </c>
      <c r="E33" s="1"/>
      <c r="F33" s="1"/>
      <c r="G33" s="1"/>
    </row>
    <row r="34" spans="1:7" ht="16.5" hidden="1" thickBot="1" x14ac:dyDescent="0.3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6.5" hidden="1" thickBot="1" x14ac:dyDescent="0.3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6.5" hidden="1" thickBot="1" x14ac:dyDescent="0.3">
      <c r="A36" s="32" t="s">
        <v>32</v>
      </c>
      <c r="B36" s="17"/>
      <c r="C36" s="21" t="s">
        <v>11</v>
      </c>
      <c r="D36" s="18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hidden="1" thickBot="1" x14ac:dyDescent="0.3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948.70255921436228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hidden="1" x14ac:dyDescent="0.25">
      <c r="A44" s="32" t="s">
        <v>39</v>
      </c>
      <c r="B44" s="17"/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('[1]34тарифы'!D163*B15+268.76)*1.1194*1.0952</f>
        <v>948.70255921436228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243.09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hidden="1" x14ac:dyDescent="0.25">
      <c r="A48" s="32" t="s">
        <v>44</v>
      </c>
      <c r="B48" s="17">
        <v>0</v>
      </c>
      <c r="C48" s="21"/>
      <c r="D48" s="18"/>
      <c r="E48" s="1" t="s">
        <v>45</v>
      </c>
      <c r="F48" s="1"/>
      <c r="G48" s="1"/>
    </row>
    <row r="49" spans="1:4" ht="16.5" thickBot="1" x14ac:dyDescent="0.3">
      <c r="A49" s="36" t="s">
        <v>95</v>
      </c>
      <c r="B49" s="17">
        <v>243.09</v>
      </c>
      <c r="C49" s="21"/>
      <c r="D49" s="18"/>
    </row>
    <row r="50" spans="1:4" ht="16.5" hidden="1" thickBot="1" x14ac:dyDescent="0.3">
      <c r="A50" s="36" t="s">
        <v>46</v>
      </c>
      <c r="B50" s="17"/>
      <c r="C50" s="21"/>
      <c r="D50" s="18">
        <v>4190</v>
      </c>
    </row>
    <row r="51" spans="1:4" ht="16.5" hidden="1" thickBot="1" x14ac:dyDescent="0.3">
      <c r="A51" s="36" t="s">
        <v>93</v>
      </c>
      <c r="B51" s="17">
        <v>0</v>
      </c>
      <c r="C51" s="21"/>
      <c r="D51" s="18"/>
    </row>
    <row r="52" spans="1:4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</row>
    <row r="53" spans="1:4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</row>
    <row r="54" spans="1:4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</row>
    <row r="55" spans="1:4" ht="16.5" hidden="1" thickBot="1" x14ac:dyDescent="0.3">
      <c r="A55" s="36" t="s">
        <v>52</v>
      </c>
      <c r="B55" s="17">
        <v>0</v>
      </c>
      <c r="C55" s="21"/>
      <c r="D55" s="37"/>
    </row>
    <row r="56" spans="1:4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</row>
    <row r="57" spans="1:4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</row>
    <row r="58" spans="1:4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</row>
    <row r="59" spans="1:4" ht="16.5" hidden="1" thickBot="1" x14ac:dyDescent="0.3">
      <c r="A59" s="36" t="s">
        <v>56</v>
      </c>
      <c r="B59" s="17">
        <f>B13*'[1]34тарифы'!D184</f>
        <v>0</v>
      </c>
      <c r="C59" s="14"/>
      <c r="D59" s="21"/>
    </row>
    <row r="60" spans="1:4" ht="16.5" hidden="1" thickBot="1" x14ac:dyDescent="0.3">
      <c r="A60" s="32" t="s">
        <v>57</v>
      </c>
      <c r="B60" s="17">
        <v>0</v>
      </c>
      <c r="C60" s="15"/>
      <c r="D60" s="18"/>
    </row>
    <row r="61" spans="1:4" ht="16.5" hidden="1" thickBot="1" x14ac:dyDescent="0.3">
      <c r="A61" s="32" t="s">
        <v>58</v>
      </c>
      <c r="B61" s="17">
        <v>0</v>
      </c>
      <c r="C61" s="21"/>
      <c r="D61" s="18">
        <v>0</v>
      </c>
    </row>
    <row r="62" spans="1:4" ht="16.5" hidden="1" thickBot="1" x14ac:dyDescent="0.3">
      <c r="A62" s="32" t="s">
        <v>94</v>
      </c>
      <c r="B62" s="17">
        <v>0</v>
      </c>
      <c r="C62" s="21"/>
      <c r="D62" s="18">
        <v>0</v>
      </c>
    </row>
    <row r="63" spans="1:4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</row>
    <row r="64" spans="1:4" ht="16.5" hidden="1" thickBot="1" x14ac:dyDescent="0.3">
      <c r="A64" s="32" t="s">
        <v>61</v>
      </c>
      <c r="B64" s="38">
        <v>0</v>
      </c>
      <c r="C64" s="40">
        <v>3</v>
      </c>
      <c r="D64" s="2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10058.906059755589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5703*1.1194*1.0952</f>
        <v>6991.6891166399992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485.52</v>
      </c>
      <c r="C71" s="43"/>
      <c r="D71" s="19"/>
    </row>
    <row r="72" spans="1:4" ht="15.75" x14ac:dyDescent="0.25">
      <c r="A72" s="35" t="s">
        <v>69</v>
      </c>
      <c r="B72" s="17">
        <f>17.7*B15</f>
        <v>1685.04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106.24200753546596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790.41493558012314</v>
      </c>
      <c r="C74" s="34"/>
      <c r="D74" s="19"/>
    </row>
    <row r="75" spans="1:4" ht="63" x14ac:dyDescent="0.25">
      <c r="A75" s="45" t="s">
        <v>72</v>
      </c>
      <c r="B75" s="29">
        <f>SUM(B76:B76)</f>
        <v>3546.4155076592469</v>
      </c>
      <c r="C75" s="34"/>
      <c r="D75" s="19"/>
    </row>
    <row r="76" spans="1:4" ht="15.75" x14ac:dyDescent="0.25">
      <c r="A76" s="35" t="s">
        <v>73</v>
      </c>
      <c r="B76" s="17">
        <f>'[1]34ОЭР'!D80*1.1194*1.0952</f>
        <v>3546.4155076592469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518.75652960824004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309.60000000000002</v>
      </c>
      <c r="C80" s="43"/>
      <c r="D80" s="19"/>
    </row>
    <row r="81" spans="1:4" ht="15.75" x14ac:dyDescent="0.25">
      <c r="A81" s="48" t="s">
        <v>78</v>
      </c>
      <c r="B81" s="17">
        <f>'[1]34тарифы'!D173*B13*1.1194</f>
        <v>209.15652960823996</v>
      </c>
      <c r="C81" s="34"/>
      <c r="D81" s="19"/>
    </row>
    <row r="82" spans="1:4" ht="15.75" x14ac:dyDescent="0.25">
      <c r="A82" s="49" t="s">
        <v>79</v>
      </c>
      <c r="B82" s="24">
        <f>B32+B42+B46+B66+B75+B77</f>
        <v>24315.870656237439</v>
      </c>
      <c r="C82" s="34"/>
      <c r="D82" s="19"/>
    </row>
    <row r="83" spans="1:4" ht="15.75" x14ac:dyDescent="0.25">
      <c r="A83" s="50" t="s">
        <v>80</v>
      </c>
      <c r="B83" s="17">
        <f>B82*0.03</f>
        <v>729.47611968712317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25045.346775924561</v>
      </c>
      <c r="C84" s="34"/>
      <c r="D84" s="19"/>
    </row>
    <row r="85" spans="1:4" ht="16.5" thickBot="1" x14ac:dyDescent="0.3">
      <c r="A85" s="52" t="s">
        <v>82</v>
      </c>
      <c r="B85" s="53">
        <f>B84*0.2</f>
        <v>5009.0693551849126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30054.416131109472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-8745.3097638175605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0B000000}">
    <filterColumn colId="1">
      <filters>
        <filter val="1 685,04"/>
        <filter val="10 058,91"/>
        <filter val="106,24"/>
        <filter val="209,16"/>
        <filter val="24 315,87"/>
        <filter val="243,09"/>
        <filter val="25 045,35"/>
        <filter val="3 546,42"/>
        <filter val="30 054,42"/>
        <filter val="309,60"/>
        <filter val="485,52"/>
        <filter val="5 009,07"/>
        <filter val="518,76"/>
        <filter val="6 991,69"/>
        <filter val="729,48"/>
        <filter val="790,41"/>
        <filter val="-8 745,31"/>
        <filter val="9 000,00"/>
        <filter val="948,7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B42" sqref="B42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138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80789.227427104386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189.6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189.6</v>
      </c>
      <c r="C15" s="20"/>
      <c r="D15" s="21"/>
    </row>
    <row r="16" spans="1:4" ht="16.5" hidden="1" thickBot="1" x14ac:dyDescent="0.3">
      <c r="A16" s="16" t="s">
        <v>15</v>
      </c>
      <c r="B16" s="17">
        <f>131.88+83.33/3</f>
        <v>159.65666666666667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310.60000000000002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22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46030.52</v>
      </c>
      <c r="C24" s="18"/>
      <c r="D24" s="21"/>
      <c r="E24" s="67">
        <v>17.829999967500001</v>
      </c>
      <c r="F24" s="68">
        <v>19.9589019636195</v>
      </c>
      <c r="G24" s="1"/>
    </row>
    <row r="25" spans="1:7" ht="16.5" thickBot="1" x14ac:dyDescent="0.3">
      <c r="A25" s="23">
        <v>0</v>
      </c>
      <c r="B25" s="24">
        <f>VLOOKUP(A5,Лист11!K:M,3,FALSE)</f>
        <v>35740.339999999997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hidden="1" thickBot="1" x14ac:dyDescent="0.3">
      <c r="A28" s="23" t="s">
        <v>25</v>
      </c>
      <c r="B28" s="24">
        <v>0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18000</v>
      </c>
      <c r="C32" s="18"/>
      <c r="D32" s="21"/>
      <c r="E32" s="30">
        <f>(B86-B26-B24)/1.2/1.03</f>
        <v>3914.2922246408189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18000</v>
      </c>
      <c r="C33" s="22"/>
      <c r="D33" s="21">
        <v>2078.83</v>
      </c>
      <c r="E33" s="1"/>
      <c r="F33" s="1"/>
      <c r="G33" s="1"/>
    </row>
    <row r="34" spans="1:7" ht="16.5" hidden="1" thickBot="1" x14ac:dyDescent="0.3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6.5" hidden="1" thickBot="1" x14ac:dyDescent="0.3">
      <c r="A35" s="32" t="s">
        <v>31</v>
      </c>
      <c r="B35" s="17">
        <v>0</v>
      </c>
      <c r="C35" s="21"/>
      <c r="D35" s="18">
        <v>0</v>
      </c>
      <c r="E35" s="1"/>
      <c r="F35" s="1"/>
      <c r="G35" s="1"/>
    </row>
    <row r="36" spans="1:7" ht="16.5" hidden="1" thickBot="1" x14ac:dyDescent="0.3">
      <c r="A36" s="32" t="s">
        <v>32</v>
      </c>
      <c r="B36" s="17">
        <v>0</v>
      </c>
      <c r="C36" s="21" t="s">
        <v>11</v>
      </c>
      <c r="D36" s="18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hidden="1" thickBot="1" x14ac:dyDescent="0.3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1713.7376600386742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hidden="1" x14ac:dyDescent="0.25">
      <c r="A44" s="32" t="s">
        <v>39</v>
      </c>
      <c r="B44" s="17">
        <v>0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('[1]34тарифы'!D163*B15+391.95)*1.1194*1.0952</f>
        <v>1713.7376600386742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243.09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hidden="1" x14ac:dyDescent="0.25">
      <c r="A48" s="32" t="s">
        <v>44</v>
      </c>
      <c r="B48" s="17">
        <v>0</v>
      </c>
      <c r="C48" s="21"/>
      <c r="D48" s="18"/>
      <c r="E48" s="1" t="s">
        <v>45</v>
      </c>
      <c r="F48" s="1"/>
      <c r="G48" s="1"/>
    </row>
    <row r="49" spans="1:4" ht="16.5" thickBot="1" x14ac:dyDescent="0.3">
      <c r="A49" s="36" t="s">
        <v>95</v>
      </c>
      <c r="B49" s="117">
        <v>243.09</v>
      </c>
      <c r="C49" s="21"/>
      <c r="D49" s="18"/>
    </row>
    <row r="50" spans="1:4" ht="16.5" hidden="1" thickBot="1" x14ac:dyDescent="0.3">
      <c r="A50" s="36" t="s">
        <v>46</v>
      </c>
      <c r="B50" s="117"/>
      <c r="C50" s="21"/>
      <c r="D50" s="18">
        <v>4190</v>
      </c>
    </row>
    <row r="51" spans="1:4" ht="16.5" hidden="1" thickBot="1" x14ac:dyDescent="0.3">
      <c r="A51" s="36" t="s">
        <v>93</v>
      </c>
      <c r="B51" s="17">
        <v>0</v>
      </c>
      <c r="C51" s="21"/>
      <c r="D51" s="18"/>
    </row>
    <row r="52" spans="1:4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</row>
    <row r="53" spans="1:4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</row>
    <row r="54" spans="1:4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</row>
    <row r="55" spans="1:4" ht="16.5" hidden="1" thickBot="1" x14ac:dyDescent="0.3">
      <c r="A55" s="36" t="s">
        <v>52</v>
      </c>
      <c r="B55" s="17">
        <v>0</v>
      </c>
      <c r="C55" s="21"/>
      <c r="D55" s="37"/>
    </row>
    <row r="56" spans="1:4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</row>
    <row r="57" spans="1:4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</row>
    <row r="58" spans="1:4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</row>
    <row r="59" spans="1:4" ht="16.5" hidden="1" thickBot="1" x14ac:dyDescent="0.3">
      <c r="A59" s="36" t="s">
        <v>56</v>
      </c>
      <c r="B59" s="17">
        <f>B13*'[1]34тарифы'!D184</f>
        <v>0</v>
      </c>
      <c r="C59" s="14"/>
      <c r="D59" s="21"/>
    </row>
    <row r="60" spans="1:4" ht="16.5" hidden="1" thickBot="1" x14ac:dyDescent="0.3">
      <c r="A60" s="32" t="s">
        <v>57</v>
      </c>
      <c r="B60" s="17">
        <v>0</v>
      </c>
      <c r="C60" s="15"/>
      <c r="D60" s="18"/>
    </row>
    <row r="61" spans="1:4" ht="16.5" hidden="1" thickBot="1" x14ac:dyDescent="0.3">
      <c r="A61" s="32" t="s">
        <v>58</v>
      </c>
      <c r="B61" s="17">
        <v>0</v>
      </c>
      <c r="C61" s="21"/>
      <c r="D61" s="18">
        <v>0</v>
      </c>
    </row>
    <row r="62" spans="1:4" ht="16.5" hidden="1" thickBot="1" x14ac:dyDescent="0.3">
      <c r="A62" s="32" t="s">
        <v>94</v>
      </c>
      <c r="B62" s="17">
        <v>0</v>
      </c>
      <c r="C62" s="21"/>
      <c r="D62" s="18">
        <v>0</v>
      </c>
    </row>
    <row r="63" spans="1:4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</row>
    <row r="64" spans="1:4" ht="16.5" hidden="1" thickBot="1" x14ac:dyDescent="0.3">
      <c r="A64" s="32" t="s">
        <v>61</v>
      </c>
      <c r="B64" s="38">
        <v>0</v>
      </c>
      <c r="C64" s="40">
        <v>6</v>
      </c>
      <c r="D64" s="2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13100.200954550488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5702.88*1.1194*1.0952</f>
        <v>6991.5420006143995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966.95999999999992</v>
      </c>
      <c r="C71" s="43"/>
      <c r="D71" s="19"/>
    </row>
    <row r="72" spans="1:4" ht="15.75" x14ac:dyDescent="0.25">
      <c r="A72" s="35" t="s">
        <v>69</v>
      </c>
      <c r="B72" s="17">
        <f>17.7*B15</f>
        <v>3355.9199999999996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211.59122509164226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1574.1877288444468</v>
      </c>
      <c r="C74" s="34"/>
      <c r="D74" s="19"/>
    </row>
    <row r="75" spans="1:4" ht="63" x14ac:dyDescent="0.25">
      <c r="A75" s="45" t="s">
        <v>72</v>
      </c>
      <c r="B75" s="29">
        <f>SUM(B76:B76)</f>
        <v>7063.0292043297595</v>
      </c>
      <c r="C75" s="34"/>
      <c r="D75" s="19"/>
    </row>
    <row r="76" spans="1:4" ht="15.75" x14ac:dyDescent="0.25">
      <c r="A76" s="35" t="s">
        <v>73</v>
      </c>
      <c r="B76" s="17">
        <f>'[1]34ОЭР'!D81*1.1194*1.0952</f>
        <v>7063.0292043297595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1035.7554413206124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619.20000000000005</v>
      </c>
      <c r="C80" s="43"/>
      <c r="D80" s="19"/>
    </row>
    <row r="81" spans="1:4" ht="15.75" x14ac:dyDescent="0.25">
      <c r="A81" s="48" t="s">
        <v>78</v>
      </c>
      <c r="B81" s="17">
        <f>'[1]34тарифы'!D173*B13*1.1194</f>
        <v>416.55544132061232</v>
      </c>
      <c r="C81" s="34"/>
      <c r="D81" s="19"/>
    </row>
    <row r="82" spans="1:4" ht="15.75" x14ac:dyDescent="0.25">
      <c r="A82" s="49" t="s">
        <v>79</v>
      </c>
      <c r="B82" s="24">
        <f>B32+B42+B46+B66+B75+B77</f>
        <v>41155.813260239527</v>
      </c>
      <c r="C82" s="34"/>
      <c r="D82" s="19"/>
    </row>
    <row r="83" spans="1:4" ht="15.75" x14ac:dyDescent="0.25">
      <c r="A83" s="50" t="s">
        <v>80</v>
      </c>
      <c r="B83" s="17">
        <f>B82*0.03</f>
        <v>1234.6743978071859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42390.48765804671</v>
      </c>
      <c r="C84" s="34"/>
      <c r="D84" s="19"/>
    </row>
    <row r="85" spans="1:4" ht="16.5" thickBot="1" x14ac:dyDescent="0.3">
      <c r="A85" s="52" t="s">
        <v>82</v>
      </c>
      <c r="B85" s="53">
        <f>B84*0.2</f>
        <v>8478.0975316093427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50868.585189656049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75951.162237448341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0C000000}">
    <filterColumn colId="1">
      <filters>
        <filter val="1 035,76"/>
        <filter val="1 234,67"/>
        <filter val="1 574,19"/>
        <filter val="1 713,74"/>
        <filter val="13 100,20"/>
        <filter val="18 000,00"/>
        <filter val="211,59"/>
        <filter val="243,09"/>
        <filter val="3 355,92"/>
        <filter val="41 155,81"/>
        <filter val="416,56"/>
        <filter val="42 390,49"/>
        <filter val="50 868,59"/>
        <filter val="6 991,54"/>
        <filter val="619,20"/>
        <filter val="7 063,03"/>
        <filter val="75 951,16"/>
        <filter val="8 478,10"/>
        <filter val="966,9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6"/>
      <c r="C1" s="1"/>
      <c r="D1" s="1"/>
    </row>
    <row r="2" spans="1:4" ht="16.5" x14ac:dyDescent="0.25">
      <c r="A2" s="197" t="s">
        <v>1</v>
      </c>
      <c r="B2" s="198"/>
      <c r="C2" s="1"/>
      <c r="D2" s="1"/>
    </row>
    <row r="3" spans="1:4" ht="16.5" x14ac:dyDescent="0.25">
      <c r="A3" s="197" t="s">
        <v>2</v>
      </c>
      <c r="B3" s="198"/>
      <c r="C3" s="1"/>
      <c r="D3" s="1"/>
    </row>
    <row r="4" spans="1:4" ht="15.75" x14ac:dyDescent="0.25">
      <c r="A4" s="2" t="s">
        <v>97</v>
      </c>
      <c r="B4" s="69"/>
      <c r="C4" s="1"/>
      <c r="D4" s="1"/>
    </row>
    <row r="5" spans="1:4" ht="15.75" x14ac:dyDescent="0.25">
      <c r="A5" s="2" t="s">
        <v>137</v>
      </c>
      <c r="B5" s="69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1824.8116494415008</v>
      </c>
      <c r="C10" s="8"/>
      <c r="D10" s="9"/>
    </row>
    <row r="11" spans="1:4" ht="16.5" hidden="1" thickBot="1" x14ac:dyDescent="0.3">
      <c r="A11" s="10" t="s">
        <v>9</v>
      </c>
      <c r="B11" s="118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165.7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5.75" x14ac:dyDescent="0.25">
      <c r="A15" s="16" t="s">
        <v>14</v>
      </c>
      <c r="B15" s="17">
        <f>B13+B14</f>
        <v>165.7</v>
      </c>
      <c r="C15" s="20"/>
      <c r="D15" s="21"/>
    </row>
    <row r="16" spans="1:4" ht="16.5" thickBot="1" x14ac:dyDescent="0.3">
      <c r="A16" s="16" t="s">
        <v>15</v>
      </c>
      <c r="B16" s="17">
        <f>131.37+83.33/3</f>
        <v>159.14666666666668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19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19">
        <v>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19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19">
        <v>185.3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19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19">
        <v>18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32411.48</v>
      </c>
      <c r="C24" s="18"/>
      <c r="D24" s="21"/>
      <c r="E24" s="67">
        <v>15.2600000462</v>
      </c>
      <c r="F24" s="68">
        <v>17.082044051716281</v>
      </c>
      <c r="G24" s="1"/>
    </row>
    <row r="25" spans="1:7" ht="16.5" thickBot="1" x14ac:dyDescent="0.3">
      <c r="A25" s="23">
        <v>0</v>
      </c>
      <c r="B25" s="24">
        <f>VLOOKUP(A5,Лист11!K:M,3,FALSE)</f>
        <v>31092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120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120">
        <f>B26</f>
        <v>0</v>
      </c>
      <c r="C27" s="19"/>
      <c r="D27" s="18"/>
      <c r="E27" s="1"/>
      <c r="F27" s="1"/>
      <c r="G27" s="1"/>
    </row>
    <row r="28" spans="1:7" ht="16.5" hidden="1" thickBot="1" x14ac:dyDescent="0.3">
      <c r="A28" s="23" t="s">
        <v>25</v>
      </c>
      <c r="B28" s="24">
        <v>0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120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15000</v>
      </c>
      <c r="C32" s="18"/>
      <c r="D32" s="21"/>
      <c r="E32" s="30">
        <f>(B86-B26-B24)/1.2/1.03</f>
        <v>28637.079611772093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15000</v>
      </c>
      <c r="C33" s="22"/>
      <c r="D33" s="21">
        <v>2078.83</v>
      </c>
      <c r="E33" s="1"/>
      <c r="F33" s="1"/>
      <c r="G33" s="1"/>
    </row>
    <row r="34" spans="1:7" ht="16.5" hidden="1" thickBot="1" x14ac:dyDescent="0.3">
      <c r="A34" s="32" t="s">
        <v>100</v>
      </c>
      <c r="B34" s="121">
        <v>0</v>
      </c>
      <c r="C34" s="15"/>
      <c r="D34" s="18">
        <v>0</v>
      </c>
      <c r="E34" s="1"/>
      <c r="F34" s="1"/>
      <c r="G34" s="1"/>
    </row>
    <row r="35" spans="1:7" ht="16.5" hidden="1" thickBot="1" x14ac:dyDescent="0.3">
      <c r="A35" s="32" t="s">
        <v>31</v>
      </c>
      <c r="B35" s="17">
        <v>0</v>
      </c>
      <c r="C35" s="21"/>
      <c r="D35" s="18">
        <v>0</v>
      </c>
      <c r="E35" s="1"/>
      <c r="F35" s="1"/>
      <c r="G35" s="1"/>
    </row>
    <row r="36" spans="1:7" ht="16.5" hidden="1" thickBot="1" x14ac:dyDescent="0.3">
      <c r="A36" s="32" t="s">
        <v>32</v>
      </c>
      <c r="B36" s="119">
        <v>0</v>
      </c>
      <c r="C36" s="21" t="s">
        <v>11</v>
      </c>
      <c r="D36" s="18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19">
        <v>0</v>
      </c>
      <c r="C37" s="21"/>
      <c r="D37" s="18">
        <v>0</v>
      </c>
      <c r="E37" s="1"/>
      <c r="F37" s="1"/>
      <c r="G37" s="1"/>
    </row>
    <row r="38" spans="1:7" ht="16.5" hidden="1" thickBot="1" x14ac:dyDescent="0.3">
      <c r="A38" s="32" t="s">
        <v>34</v>
      </c>
      <c r="B38" s="119">
        <v>0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19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19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19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1231.6499466053274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19"/>
      <c r="C43" s="25"/>
      <c r="D43" s="34"/>
      <c r="E43" s="1"/>
      <c r="F43" s="1"/>
      <c r="G43" s="1"/>
    </row>
    <row r="44" spans="1:7" ht="15.75" hidden="1" x14ac:dyDescent="0.25">
      <c r="A44" s="32" t="s">
        <v>39</v>
      </c>
      <c r="B44" s="17">
        <v>0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('[1]34тарифы'!D163*B15+125.52)*1.1194*1.0952</f>
        <v>1231.6499466053274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19164.550000000003</v>
      </c>
      <c r="C46" s="14"/>
      <c r="D46" s="21"/>
    </row>
    <row r="47" spans="1:7" ht="15.75" hidden="1" x14ac:dyDescent="0.25">
      <c r="A47" s="32" t="s">
        <v>42</v>
      </c>
      <c r="B47" s="119">
        <v>0</v>
      </c>
      <c r="C47" s="15"/>
      <c r="D47" s="18"/>
      <c r="E47" s="1" t="s">
        <v>43</v>
      </c>
      <c r="F47" s="1"/>
      <c r="G47" s="1"/>
    </row>
    <row r="48" spans="1:7" ht="15.75" hidden="1" x14ac:dyDescent="0.25">
      <c r="A48" s="32" t="s">
        <v>44</v>
      </c>
      <c r="B48" s="119">
        <v>0</v>
      </c>
      <c r="C48" s="21"/>
      <c r="D48" s="18"/>
      <c r="E48" s="1" t="s">
        <v>45</v>
      </c>
      <c r="F48" s="1"/>
      <c r="G48" s="1"/>
    </row>
    <row r="49" spans="1:4" ht="15.75" x14ac:dyDescent="0.25">
      <c r="A49" s="36" t="s">
        <v>95</v>
      </c>
      <c r="B49" s="117">
        <v>405.15000000000003</v>
      </c>
      <c r="C49" s="21"/>
      <c r="D49" s="18"/>
    </row>
    <row r="50" spans="1:4" ht="15.75" hidden="1" x14ac:dyDescent="0.25">
      <c r="A50" s="36" t="s">
        <v>46</v>
      </c>
      <c r="B50" s="117"/>
      <c r="C50" s="21"/>
      <c r="D50" s="18">
        <v>4190</v>
      </c>
    </row>
    <row r="51" spans="1:4" ht="15.75" hidden="1" x14ac:dyDescent="0.25">
      <c r="A51" s="36" t="s">
        <v>93</v>
      </c>
      <c r="B51" s="119">
        <v>0</v>
      </c>
      <c r="C51" s="21"/>
      <c r="D51" s="18"/>
    </row>
    <row r="52" spans="1:4" ht="15.75" hidden="1" x14ac:dyDescent="0.25">
      <c r="A52" s="36" t="s">
        <v>49</v>
      </c>
      <c r="B52" s="119">
        <f>B21*'[1]34тарифы'!D177</f>
        <v>0</v>
      </c>
      <c r="C52" s="21"/>
      <c r="D52" s="18">
        <v>105.14</v>
      </c>
    </row>
    <row r="53" spans="1:4" ht="15.75" hidden="1" x14ac:dyDescent="0.25">
      <c r="A53" s="36" t="s">
        <v>50</v>
      </c>
      <c r="B53" s="119">
        <v>0</v>
      </c>
      <c r="C53" s="21">
        <v>0</v>
      </c>
      <c r="D53" s="18">
        <v>522.99</v>
      </c>
    </row>
    <row r="54" spans="1:4" ht="16.5" thickBot="1" x14ac:dyDescent="0.3">
      <c r="A54" s="36" t="s">
        <v>51</v>
      </c>
      <c r="B54" s="119">
        <v>18759.400000000001</v>
      </c>
      <c r="C54" s="21">
        <v>0</v>
      </c>
      <c r="D54" s="37">
        <v>695.13</v>
      </c>
    </row>
    <row r="55" spans="1:4" ht="16.5" hidden="1" thickBot="1" x14ac:dyDescent="0.3">
      <c r="A55" s="36" t="s">
        <v>52</v>
      </c>
      <c r="B55" s="119">
        <v>0</v>
      </c>
      <c r="C55" s="21"/>
      <c r="D55" s="37"/>
    </row>
    <row r="56" spans="1:4" ht="16.5" hidden="1" thickBot="1" x14ac:dyDescent="0.3">
      <c r="A56" s="36" t="s">
        <v>53</v>
      </c>
      <c r="B56" s="119">
        <v>0</v>
      </c>
      <c r="C56" s="21">
        <v>0</v>
      </c>
      <c r="D56" s="18">
        <f>10695.76/1.18</f>
        <v>9064.203389830509</v>
      </c>
    </row>
    <row r="57" spans="1:4" ht="16.5" hidden="1" thickBot="1" x14ac:dyDescent="0.3">
      <c r="A57" s="36" t="s">
        <v>54</v>
      </c>
      <c r="B57" s="119">
        <v>0</v>
      </c>
      <c r="C57" s="21">
        <v>0</v>
      </c>
      <c r="D57" s="18">
        <f>2300/1.18</f>
        <v>1949.1525423728815</v>
      </c>
    </row>
    <row r="58" spans="1:4" ht="16.5" hidden="1" thickBot="1" x14ac:dyDescent="0.3">
      <c r="A58" s="36" t="s">
        <v>55</v>
      </c>
      <c r="B58" s="119">
        <v>0</v>
      </c>
      <c r="C58" s="19">
        <v>0</v>
      </c>
      <c r="D58" s="18">
        <v>0</v>
      </c>
    </row>
    <row r="59" spans="1:4" ht="16.5" hidden="1" thickBot="1" x14ac:dyDescent="0.3">
      <c r="A59" s="36" t="s">
        <v>56</v>
      </c>
      <c r="B59" s="17">
        <f>B13*'[1]34тарифы'!D184</f>
        <v>0</v>
      </c>
      <c r="C59" s="14"/>
      <c r="D59" s="21"/>
    </row>
    <row r="60" spans="1:4" ht="16.5" hidden="1" thickBot="1" x14ac:dyDescent="0.3">
      <c r="A60" s="32" t="s">
        <v>57</v>
      </c>
      <c r="B60" s="119">
        <v>0</v>
      </c>
      <c r="C60" s="15"/>
      <c r="D60" s="18"/>
    </row>
    <row r="61" spans="1:4" ht="16.5" hidden="1" thickBot="1" x14ac:dyDescent="0.3">
      <c r="A61" s="32" t="s">
        <v>58</v>
      </c>
      <c r="B61" s="119">
        <v>0</v>
      </c>
      <c r="C61" s="21"/>
      <c r="D61" s="18">
        <v>0</v>
      </c>
    </row>
    <row r="62" spans="1:4" ht="16.5" hidden="1" thickBot="1" x14ac:dyDescent="0.3">
      <c r="A62" s="32" t="s">
        <v>94</v>
      </c>
      <c r="B62" s="119">
        <v>0</v>
      </c>
      <c r="C62" s="21"/>
      <c r="D62" s="18">
        <v>0</v>
      </c>
    </row>
    <row r="63" spans="1:4" ht="16.5" hidden="1" thickBot="1" x14ac:dyDescent="0.3">
      <c r="A63" s="32" t="s">
        <v>60</v>
      </c>
      <c r="B63" s="122">
        <v>0</v>
      </c>
      <c r="C63" s="39">
        <v>1</v>
      </c>
      <c r="D63" s="18">
        <v>0</v>
      </c>
    </row>
    <row r="64" spans="1:4" ht="16.5" hidden="1" thickBot="1" x14ac:dyDescent="0.3">
      <c r="A64" s="32" t="s">
        <v>61</v>
      </c>
      <c r="B64" s="122">
        <v>0</v>
      </c>
      <c r="C64" s="40">
        <v>5</v>
      </c>
      <c r="D64" s="21">
        <v>1</v>
      </c>
    </row>
    <row r="65" spans="1:4" s="4" customFormat="1" ht="16.5" hidden="1" thickBot="1" x14ac:dyDescent="0.3">
      <c r="A65" s="32" t="s">
        <v>62</v>
      </c>
      <c r="B65" s="122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12307.813216343506</v>
      </c>
      <c r="C66" s="14"/>
      <c r="D66" s="19"/>
    </row>
    <row r="67" spans="1:4" ht="16.5" hidden="1" thickBot="1" x14ac:dyDescent="0.3">
      <c r="A67" s="32" t="s">
        <v>64</v>
      </c>
      <c r="B67" s="119">
        <v>0</v>
      </c>
      <c r="C67" s="25"/>
      <c r="D67" s="34"/>
    </row>
    <row r="68" spans="1:4" ht="16.5" thickBot="1" x14ac:dyDescent="0.3">
      <c r="A68" s="32" t="s">
        <v>65</v>
      </c>
      <c r="B68" s="17">
        <f>5684.64*1.1194*1.0952</f>
        <v>6969.1803647232</v>
      </c>
      <c r="C68" s="14"/>
      <c r="D68" s="19"/>
    </row>
    <row r="69" spans="1:4" ht="16.5" hidden="1" thickBot="1" x14ac:dyDescent="0.3">
      <c r="A69" s="32" t="s">
        <v>66</v>
      </c>
      <c r="B69" s="119">
        <v>0</v>
      </c>
      <c r="C69" s="25"/>
      <c r="D69" s="34"/>
    </row>
    <row r="70" spans="1:4" ht="16.5" hidden="1" thickBot="1" x14ac:dyDescent="0.3">
      <c r="A70" s="35" t="s">
        <v>67</v>
      </c>
      <c r="B70" s="119">
        <v>0</v>
      </c>
      <c r="C70" s="19"/>
      <c r="D70" s="34"/>
    </row>
    <row r="71" spans="1:4" ht="15.75" x14ac:dyDescent="0.25">
      <c r="A71" s="35" t="s">
        <v>68</v>
      </c>
      <c r="B71" s="17">
        <f>5.1*B15</f>
        <v>845.06999999999994</v>
      </c>
      <c r="C71" s="43"/>
      <c r="D71" s="19"/>
    </row>
    <row r="72" spans="1:4" ht="15.75" x14ac:dyDescent="0.25">
      <c r="A72" s="35" t="s">
        <v>69</v>
      </c>
      <c r="B72" s="17">
        <f>17.7*B15</f>
        <v>2932.89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184.91912446036457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1375.7537271599413</v>
      </c>
      <c r="C74" s="34"/>
      <c r="D74" s="19"/>
    </row>
    <row r="75" spans="1:4" ht="63" x14ac:dyDescent="0.25">
      <c r="A75" s="45" t="s">
        <v>72</v>
      </c>
      <c r="B75" s="29">
        <f>SUM(B76:B76)</f>
        <v>6172.7001010413551</v>
      </c>
      <c r="C75" s="34"/>
      <c r="D75" s="19"/>
    </row>
    <row r="76" spans="1:4" ht="15.75" x14ac:dyDescent="0.25">
      <c r="A76" s="35" t="s">
        <v>73</v>
      </c>
      <c r="B76" s="17">
        <f>'[1]34ОЭР'!D79*1.1194*1.0952</f>
        <v>6172.7001010413551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983.24660668156889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619.20000000000005</v>
      </c>
      <c r="C80" s="43"/>
      <c r="D80" s="19"/>
    </row>
    <row r="81" spans="1:4" ht="15.75" x14ac:dyDescent="0.25">
      <c r="A81" s="48" t="s">
        <v>78</v>
      </c>
      <c r="B81" s="17">
        <f>'[1]34тарифы'!D173*B13*1.1194</f>
        <v>364.04660668156885</v>
      </c>
      <c r="C81" s="34"/>
      <c r="D81" s="19"/>
    </row>
    <row r="82" spans="1:4" ht="15.75" x14ac:dyDescent="0.25">
      <c r="A82" s="49" t="s">
        <v>79</v>
      </c>
      <c r="B82" s="24">
        <f>B32+B42+B46+B66+B75+B77</f>
        <v>54859.959870671766</v>
      </c>
      <c r="C82" s="34"/>
      <c r="D82" s="19"/>
    </row>
    <row r="83" spans="1:4" ht="15.75" x14ac:dyDescent="0.25">
      <c r="A83" s="50" t="s">
        <v>80</v>
      </c>
      <c r="B83" s="17">
        <f>B82*0.03</f>
        <v>1645.7987961201529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56505.758666791917</v>
      </c>
      <c r="C84" s="34"/>
      <c r="D84" s="19"/>
    </row>
    <row r="85" spans="1:4" ht="16.5" thickBot="1" x14ac:dyDescent="0.3">
      <c r="A85" s="52" t="s">
        <v>82</v>
      </c>
      <c r="B85" s="53">
        <f>B84*0.2</f>
        <v>11301.151733358383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67806.9104001503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-33570.618750708803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3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0D000000}">
    <filterColumn colId="1">
      <filters>
        <filter val="1 231,65"/>
        <filter val="1 375,75"/>
        <filter val="1 645,80"/>
        <filter val="11 301,15"/>
        <filter val="12 307,81"/>
        <filter val="15 000,00"/>
        <filter val="18 759,40"/>
        <filter val="184,92"/>
        <filter val="19 164,55"/>
        <filter val="2 932,89"/>
        <filter val="-33 570,62"/>
        <filter val="364,05"/>
        <filter val="405,15"/>
        <filter val="54 859,96"/>
        <filter val="56 505,76"/>
        <filter val="6 172,70"/>
        <filter val="6 969,18"/>
        <filter val="619,20"/>
        <filter val="67 806,91"/>
        <filter val="845,07"/>
        <filter val="983,25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>
    <pageSetUpPr fitToPage="1"/>
  </sheetPr>
  <dimension ref="A1:G90"/>
  <sheetViews>
    <sheetView view="pageBreakPreview" zoomScale="80" zoomScaleNormal="100" zoomScaleSheetLayoutView="80" workbookViewId="0">
      <selection activeCell="B33" sqref="B33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91.57031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91.57031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91.57031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91.57031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91.57031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91.57031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91.57031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91.57031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91.57031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91.57031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91.57031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91.57031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91.57031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91.57031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91.57031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91.57031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91.57031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91.57031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91.57031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91.57031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91.57031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91.57031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91.57031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91.57031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91.57031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91.57031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91.57031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91.57031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91.57031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91.57031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91.57031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91.57031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91.57031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91.57031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91.57031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91.57031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91.57031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91.57031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91.57031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91.57031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91.57031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91.57031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91.57031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91.57031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91.57031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91.57031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91.57031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91.57031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91.57031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91.57031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91.57031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91.57031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91.57031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91.57031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91.57031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91.57031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91.57031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91.57031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91.57031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91.57031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91.57031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91.57031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91.57031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6" t="s">
        <v>0</v>
      </c>
      <c r="B1" s="196"/>
      <c r="C1" s="65"/>
      <c r="D1" s="65"/>
    </row>
    <row r="2" spans="1:4" ht="16.5" x14ac:dyDescent="0.25">
      <c r="A2" s="198" t="s">
        <v>1</v>
      </c>
      <c r="B2" s="198"/>
      <c r="C2" s="65"/>
      <c r="D2" s="65"/>
    </row>
    <row r="3" spans="1:4" ht="16.5" x14ac:dyDescent="0.25">
      <c r="A3" s="198" t="s">
        <v>2</v>
      </c>
      <c r="B3" s="198"/>
      <c r="C3" s="65"/>
      <c r="D3" s="65"/>
    </row>
    <row r="4" spans="1:4" ht="15.75" x14ac:dyDescent="0.25">
      <c r="A4" s="69" t="s">
        <v>97</v>
      </c>
      <c r="B4" s="69"/>
      <c r="C4" s="65"/>
      <c r="D4" s="65"/>
    </row>
    <row r="5" spans="1:4" ht="15.75" x14ac:dyDescent="0.25">
      <c r="A5" s="69" t="s">
        <v>159</v>
      </c>
      <c r="B5" s="182"/>
      <c r="C5" s="65"/>
      <c r="D5" s="65"/>
    </row>
    <row r="6" spans="1:4" ht="5.25" customHeight="1" x14ac:dyDescent="0.25">
      <c r="A6" s="69"/>
      <c r="B6" s="3"/>
      <c r="C6" s="3"/>
      <c r="D6" s="65"/>
    </row>
    <row r="7" spans="1:4" ht="16.5" thickBot="1" x14ac:dyDescent="0.3">
      <c r="A7" s="168"/>
      <c r="B7" s="3"/>
      <c r="C7" s="3"/>
      <c r="D7" s="65"/>
    </row>
    <row r="8" spans="1:4" ht="15.75" customHeight="1" x14ac:dyDescent="0.25">
      <c r="A8" s="210" t="s">
        <v>4</v>
      </c>
      <c r="B8" s="201" t="s">
        <v>5</v>
      </c>
      <c r="C8" s="207" t="s">
        <v>6</v>
      </c>
      <c r="D8" s="207" t="s">
        <v>7</v>
      </c>
    </row>
    <row r="9" spans="1:4" ht="28.5" customHeight="1" thickBot="1" x14ac:dyDescent="0.3">
      <c r="A9" s="211"/>
      <c r="B9" s="202"/>
      <c r="C9" s="208"/>
      <c r="D9" s="208"/>
    </row>
    <row r="10" spans="1:4" ht="16.5" thickBot="1" x14ac:dyDescent="0.3">
      <c r="A10" s="70" t="s">
        <v>8</v>
      </c>
      <c r="B10" s="176">
        <v>-236690.79</v>
      </c>
      <c r="C10" s="72"/>
      <c r="D10" s="72"/>
    </row>
    <row r="11" spans="1:4" ht="16.5" hidden="1" thickBot="1" x14ac:dyDescent="0.3">
      <c r="A11" s="131" t="s">
        <v>9</v>
      </c>
      <c r="B11" s="130"/>
      <c r="C11" s="132"/>
      <c r="D11" s="74"/>
    </row>
    <row r="12" spans="1:4" ht="15.75" x14ac:dyDescent="0.25">
      <c r="A12" s="75" t="s">
        <v>10</v>
      </c>
      <c r="B12" s="177"/>
      <c r="C12" s="77" t="s">
        <v>11</v>
      </c>
      <c r="D12" s="133" t="s">
        <v>11</v>
      </c>
    </row>
    <row r="13" spans="1:4" ht="15.75" hidden="1" x14ac:dyDescent="0.25">
      <c r="A13" s="134" t="s">
        <v>12</v>
      </c>
      <c r="B13" s="135">
        <v>378.1</v>
      </c>
      <c r="C13" s="136" t="s">
        <v>11</v>
      </c>
      <c r="D13" s="79" t="s">
        <v>11</v>
      </c>
    </row>
    <row r="14" spans="1:4" ht="15.75" hidden="1" x14ac:dyDescent="0.25">
      <c r="A14" s="134" t="s">
        <v>13</v>
      </c>
      <c r="B14" s="135">
        <v>0</v>
      </c>
      <c r="C14" s="136"/>
      <c r="D14" s="79"/>
    </row>
    <row r="15" spans="1:4" ht="15.75" x14ac:dyDescent="0.25">
      <c r="A15" s="78" t="s">
        <v>14</v>
      </c>
      <c r="B15" s="17">
        <f>B13+B14</f>
        <v>378.1</v>
      </c>
      <c r="C15" s="82"/>
      <c r="D15" s="79"/>
    </row>
    <row r="16" spans="1:4" ht="15.75" x14ac:dyDescent="0.25">
      <c r="A16" s="78" t="s">
        <v>15</v>
      </c>
      <c r="B16" s="17">
        <f>343.89+434.06/3</f>
        <v>488.57666666666665</v>
      </c>
      <c r="C16" s="82" t="s">
        <v>11</v>
      </c>
      <c r="D16" s="79" t="s">
        <v>11</v>
      </c>
    </row>
    <row r="17" spans="1:7" ht="15.75" hidden="1" x14ac:dyDescent="0.25">
      <c r="A17" s="134" t="s">
        <v>16</v>
      </c>
      <c r="B17" s="135">
        <v>0</v>
      </c>
      <c r="C17" s="136" t="s">
        <v>11</v>
      </c>
      <c r="D17" s="79" t="s">
        <v>11</v>
      </c>
      <c r="E17" s="65"/>
      <c r="F17" s="65"/>
      <c r="G17" s="65"/>
    </row>
    <row r="18" spans="1:7" ht="15.75" hidden="1" x14ac:dyDescent="0.25">
      <c r="A18" s="134" t="s">
        <v>17</v>
      </c>
      <c r="B18" s="135">
        <v>0</v>
      </c>
      <c r="C18" s="136" t="s">
        <v>11</v>
      </c>
      <c r="D18" s="79" t="s">
        <v>11</v>
      </c>
      <c r="E18" s="65"/>
      <c r="F18" s="65"/>
      <c r="G18" s="65"/>
    </row>
    <row r="19" spans="1:7" ht="15.75" hidden="1" x14ac:dyDescent="0.25">
      <c r="A19" s="134" t="s">
        <v>18</v>
      </c>
      <c r="B19" s="135">
        <v>0</v>
      </c>
      <c r="C19" s="136" t="s">
        <v>11</v>
      </c>
      <c r="D19" s="79" t="s">
        <v>11</v>
      </c>
      <c r="E19" s="65"/>
      <c r="F19" s="65"/>
      <c r="G19" s="65"/>
    </row>
    <row r="20" spans="1:7" ht="15.75" hidden="1" x14ac:dyDescent="0.25">
      <c r="A20" s="134" t="s">
        <v>19</v>
      </c>
      <c r="B20" s="135">
        <v>354</v>
      </c>
      <c r="C20" s="136"/>
      <c r="D20" s="79"/>
      <c r="E20" s="65"/>
      <c r="F20" s="65"/>
      <c r="G20" s="65"/>
    </row>
    <row r="21" spans="1:7" ht="15.75" hidden="1" x14ac:dyDescent="0.25">
      <c r="A21" s="134" t="s">
        <v>20</v>
      </c>
      <c r="B21" s="135">
        <v>0</v>
      </c>
      <c r="C21" s="136" t="s">
        <v>11</v>
      </c>
      <c r="D21" s="79" t="s">
        <v>11</v>
      </c>
      <c r="E21" s="65"/>
      <c r="F21" s="65"/>
      <c r="G21" s="65"/>
    </row>
    <row r="22" spans="1:7" ht="15.75" hidden="1" x14ac:dyDescent="0.25">
      <c r="A22" s="134" t="s">
        <v>21</v>
      </c>
      <c r="B22" s="135">
        <v>26</v>
      </c>
      <c r="C22" s="136"/>
      <c r="D22" s="79"/>
      <c r="E22" s="65"/>
      <c r="F22" s="65"/>
      <c r="G22" s="65"/>
    </row>
    <row r="23" spans="1:7" ht="15.75" x14ac:dyDescent="0.25">
      <c r="A23" s="78"/>
      <c r="B23" s="17"/>
      <c r="C23" s="82"/>
      <c r="D23" s="79"/>
      <c r="E23" s="65">
        <v>10</v>
      </c>
      <c r="F23" s="65">
        <v>2</v>
      </c>
      <c r="G23" s="65"/>
    </row>
    <row r="24" spans="1:7" ht="15.75" x14ac:dyDescent="0.25">
      <c r="A24" s="87" t="s">
        <v>153</v>
      </c>
      <c r="B24" s="24">
        <f>VLOOKUP(A5,Лист11!K:M,2,FALSE)</f>
        <v>109806.58</v>
      </c>
      <c r="C24" s="82"/>
      <c r="D24" s="79"/>
      <c r="E24" s="67">
        <v>21.349999975500001</v>
      </c>
      <c r="F24" s="68">
        <v>23.8991899725747</v>
      </c>
      <c r="G24" s="65"/>
    </row>
    <row r="25" spans="1:7" ht="15.75" x14ac:dyDescent="0.25">
      <c r="A25" s="87" t="s">
        <v>154</v>
      </c>
      <c r="B25" s="24">
        <f>VLOOKUP(A5,Лист11!K:M,3,FALSE)</f>
        <v>90410.07</v>
      </c>
      <c r="C25" s="82"/>
      <c r="D25" s="79"/>
      <c r="E25" s="65"/>
      <c r="F25" s="65"/>
      <c r="G25" s="65"/>
    </row>
    <row r="26" spans="1:7" ht="15.75" hidden="1" x14ac:dyDescent="0.25">
      <c r="A26" s="87" t="s">
        <v>160</v>
      </c>
      <c r="B26" s="24"/>
      <c r="C26" s="82"/>
      <c r="D26" s="79"/>
      <c r="E26" s="65"/>
      <c r="F26" s="65"/>
      <c r="G26" s="65"/>
    </row>
    <row r="27" spans="1:7" ht="15.75" hidden="1" x14ac:dyDescent="0.25">
      <c r="A27" s="87" t="s">
        <v>91</v>
      </c>
      <c r="B27" s="24">
        <f>B26</f>
        <v>0</v>
      </c>
      <c r="C27" s="82"/>
      <c r="D27" s="79"/>
      <c r="E27" s="65"/>
      <c r="F27" s="65"/>
      <c r="G27" s="65"/>
    </row>
    <row r="28" spans="1:7" ht="15.75" hidden="1" x14ac:dyDescent="0.25">
      <c r="A28" s="87" t="s">
        <v>25</v>
      </c>
      <c r="B28" s="24"/>
      <c r="C28" s="82"/>
      <c r="D28" s="79"/>
      <c r="E28" s="65"/>
      <c r="F28" s="65"/>
      <c r="G28" s="65"/>
    </row>
    <row r="29" spans="1:7" ht="15.75" hidden="1" x14ac:dyDescent="0.25">
      <c r="A29" s="137" t="s">
        <v>26</v>
      </c>
      <c r="B29" s="135"/>
      <c r="C29" s="136"/>
      <c r="D29" s="79"/>
      <c r="E29" s="65"/>
      <c r="F29" s="65"/>
      <c r="G29" s="65"/>
    </row>
    <row r="30" spans="1:7" ht="15.75" x14ac:dyDescent="0.25">
      <c r="A30" s="89"/>
      <c r="B30" s="17"/>
      <c r="C30" s="82"/>
      <c r="D30" s="79"/>
      <c r="E30" s="65"/>
      <c r="F30" s="65"/>
      <c r="G30" s="65"/>
    </row>
    <row r="31" spans="1:7" ht="15.75" x14ac:dyDescent="0.25">
      <c r="A31" s="90" t="s">
        <v>27</v>
      </c>
      <c r="B31" s="17"/>
      <c r="C31" s="82"/>
      <c r="D31" s="79"/>
      <c r="E31" s="65"/>
      <c r="F31" s="65"/>
      <c r="G31" s="65"/>
    </row>
    <row r="32" spans="1:7" s="141" customFormat="1" ht="31.5" x14ac:dyDescent="0.25">
      <c r="A32" s="91" t="s">
        <v>28</v>
      </c>
      <c r="B32" s="29">
        <f>SUM(B33:B41)</f>
        <v>38692.110919999992</v>
      </c>
      <c r="C32" s="82"/>
      <c r="D32" s="79"/>
      <c r="E32" s="140">
        <f>(B24-B74)/1.2/1.03</f>
        <v>-5928.0980566938506</v>
      </c>
      <c r="F32" s="140" t="e">
        <f>(#REF!-#REF!)/1.2/1.03</f>
        <v>#REF!</v>
      </c>
      <c r="G32" s="140" t="e">
        <f>(#REF!-#REF!)/1.2/1.03</f>
        <v>#REF!</v>
      </c>
    </row>
    <row r="33" spans="1:7" ht="15.75" x14ac:dyDescent="0.25">
      <c r="A33" s="33" t="s">
        <v>29</v>
      </c>
      <c r="B33" s="17">
        <f>26975.85*1.0952</f>
        <v>29543.950919999996</v>
      </c>
      <c r="C33" s="82"/>
      <c r="D33" s="79">
        <v>8472.14</v>
      </c>
      <c r="E33" s="65"/>
      <c r="F33" s="65"/>
      <c r="G33" s="65"/>
    </row>
    <row r="34" spans="1:7" ht="15.75" hidden="1" x14ac:dyDescent="0.25">
      <c r="A34" s="33" t="s">
        <v>161</v>
      </c>
      <c r="B34" s="17">
        <v>0</v>
      </c>
      <c r="C34" s="82"/>
      <c r="D34" s="79">
        <v>0</v>
      </c>
      <c r="E34" s="65"/>
      <c r="F34" s="65"/>
      <c r="G34" s="65"/>
    </row>
    <row r="35" spans="1:7" ht="15.75" hidden="1" x14ac:dyDescent="0.25">
      <c r="A35" s="33" t="s">
        <v>32</v>
      </c>
      <c r="B35" s="17"/>
      <c r="C35" s="82"/>
      <c r="D35" s="79">
        <v>0</v>
      </c>
      <c r="E35" s="65"/>
      <c r="F35" s="65"/>
      <c r="G35" s="65"/>
    </row>
    <row r="36" spans="1:7" ht="15.75" hidden="1" x14ac:dyDescent="0.25">
      <c r="A36" s="33" t="s">
        <v>31</v>
      </c>
      <c r="B36" s="17">
        <v>0</v>
      </c>
      <c r="C36" s="82" t="s">
        <v>11</v>
      </c>
      <c r="D36" s="79">
        <v>0</v>
      </c>
      <c r="E36" s="65"/>
      <c r="F36" s="65"/>
      <c r="G36" s="65"/>
    </row>
    <row r="37" spans="1:7" ht="15.75" hidden="1" x14ac:dyDescent="0.25">
      <c r="A37" s="33" t="s">
        <v>33</v>
      </c>
      <c r="B37" s="17">
        <v>0</v>
      </c>
      <c r="C37" s="82"/>
      <c r="D37" s="79">
        <v>0</v>
      </c>
      <c r="E37" s="65"/>
      <c r="F37" s="65"/>
      <c r="G37" s="65"/>
    </row>
    <row r="38" spans="1:7" ht="15.75" hidden="1" x14ac:dyDescent="0.25">
      <c r="A38" s="33" t="s">
        <v>34</v>
      </c>
      <c r="B38" s="17">
        <v>0</v>
      </c>
      <c r="C38" s="82"/>
      <c r="D38" s="79">
        <v>0</v>
      </c>
      <c r="E38" s="65"/>
      <c r="F38" s="65"/>
      <c r="G38" s="65"/>
    </row>
    <row r="39" spans="1:7" ht="15.75" hidden="1" x14ac:dyDescent="0.25">
      <c r="A39" s="33" t="s">
        <v>162</v>
      </c>
      <c r="B39" s="17">
        <v>0</v>
      </c>
      <c r="C39" s="82"/>
      <c r="D39" s="79">
        <v>0</v>
      </c>
      <c r="E39" s="65"/>
      <c r="F39" s="65"/>
      <c r="G39" s="65"/>
    </row>
    <row r="40" spans="1:7" ht="15.75" x14ac:dyDescent="0.25">
      <c r="A40" s="33" t="s">
        <v>92</v>
      </c>
      <c r="B40" s="17">
        <v>9148.16</v>
      </c>
      <c r="C40" s="82"/>
      <c r="D40" s="79"/>
      <c r="E40" s="65"/>
      <c r="F40" s="65"/>
      <c r="G40" s="65"/>
    </row>
    <row r="41" spans="1:7" ht="15.75" hidden="1" x14ac:dyDescent="0.25">
      <c r="A41" s="33" t="s">
        <v>108</v>
      </c>
      <c r="B41" s="17">
        <v>0</v>
      </c>
      <c r="C41" s="82"/>
      <c r="D41" s="79"/>
      <c r="E41" s="65"/>
      <c r="F41" s="65"/>
      <c r="G41" s="65"/>
    </row>
    <row r="42" spans="1:7" s="141" customFormat="1" ht="47.25" x14ac:dyDescent="0.25">
      <c r="A42" s="91" t="s">
        <v>102</v>
      </c>
      <c r="B42" s="29">
        <f>SUM(B43:B45)</f>
        <v>2940.6120000000001</v>
      </c>
      <c r="C42" s="82"/>
      <c r="D42" s="79"/>
      <c r="E42" s="140"/>
      <c r="F42" s="140"/>
      <c r="G42" s="140"/>
    </row>
    <row r="43" spans="1:7" ht="15.75" hidden="1" x14ac:dyDescent="0.25">
      <c r="A43" s="33" t="s">
        <v>38</v>
      </c>
      <c r="B43" s="17"/>
      <c r="C43" s="80"/>
      <c r="D43" s="92"/>
      <c r="E43" s="65"/>
      <c r="F43" s="65"/>
      <c r="G43" s="65"/>
    </row>
    <row r="44" spans="1:7" ht="15.75" hidden="1" x14ac:dyDescent="0.25">
      <c r="A44" s="33" t="s">
        <v>39</v>
      </c>
      <c r="B44" s="17"/>
      <c r="C44" s="80"/>
      <c r="D44" s="92"/>
      <c r="E44" s="65"/>
      <c r="F44" s="65"/>
      <c r="G44" s="65"/>
    </row>
    <row r="45" spans="1:7" ht="15.75" x14ac:dyDescent="0.25">
      <c r="A45" s="44" t="s">
        <v>40</v>
      </c>
      <c r="B45" s="17">
        <f>2685*1.0952</f>
        <v>2940.6120000000001</v>
      </c>
      <c r="C45" s="80"/>
      <c r="D45" s="92"/>
      <c r="E45" s="65"/>
      <c r="F45" s="65"/>
      <c r="G45" s="65"/>
    </row>
    <row r="46" spans="1:7" s="3" customFormat="1" ht="15.75" x14ac:dyDescent="0.25">
      <c r="A46" s="91" t="s">
        <v>41</v>
      </c>
      <c r="B46" s="29">
        <f>SUM(B47:B55)</f>
        <v>2578.69</v>
      </c>
      <c r="C46" s="82"/>
      <c r="D46" s="79"/>
    </row>
    <row r="47" spans="1:7" ht="15.75" x14ac:dyDescent="0.25">
      <c r="A47" s="93" t="s">
        <v>418</v>
      </c>
      <c r="B47" s="17">
        <v>2542.3200000000002</v>
      </c>
      <c r="C47" s="82">
        <v>0</v>
      </c>
      <c r="D47" s="79">
        <f>2300/1.18</f>
        <v>1949.1525423728815</v>
      </c>
      <c r="E47" s="65"/>
      <c r="F47" s="65"/>
      <c r="G47" s="65"/>
    </row>
    <row r="48" spans="1:7" ht="15.75" hidden="1" x14ac:dyDescent="0.25">
      <c r="A48" s="93" t="s">
        <v>55</v>
      </c>
      <c r="B48" s="17">
        <v>0</v>
      </c>
      <c r="C48" s="82">
        <v>0</v>
      </c>
      <c r="D48" s="79">
        <v>0</v>
      </c>
      <c r="E48" s="65"/>
      <c r="F48" s="65"/>
      <c r="G48" s="65"/>
    </row>
    <row r="49" spans="1:5" ht="15.75" x14ac:dyDescent="0.25">
      <c r="A49" s="93" t="s">
        <v>46</v>
      </c>
      <c r="B49" s="17">
        <v>36.369999999999997</v>
      </c>
      <c r="C49" s="82"/>
      <c r="D49" s="79"/>
      <c r="E49" s="65"/>
    </row>
    <row r="50" spans="1:5" ht="15.75" hidden="1" x14ac:dyDescent="0.25">
      <c r="A50" s="33" t="s">
        <v>57</v>
      </c>
      <c r="B50" s="17">
        <v>0</v>
      </c>
      <c r="C50" s="82"/>
      <c r="D50" s="79"/>
      <c r="E50" s="65"/>
    </row>
    <row r="51" spans="1:5" ht="15.75" hidden="1" x14ac:dyDescent="0.25">
      <c r="A51" s="33" t="s">
        <v>58</v>
      </c>
      <c r="B51" s="17">
        <v>0</v>
      </c>
      <c r="C51" s="82"/>
      <c r="D51" s="79">
        <v>0</v>
      </c>
      <c r="E51" s="65"/>
    </row>
    <row r="52" spans="1:5" ht="15.75" hidden="1" x14ac:dyDescent="0.25">
      <c r="A52" s="33" t="s">
        <v>94</v>
      </c>
      <c r="B52" s="17">
        <v>0</v>
      </c>
      <c r="C52" s="82"/>
      <c r="D52" s="79">
        <v>0</v>
      </c>
      <c r="E52" s="65"/>
    </row>
    <row r="53" spans="1:5" ht="15.75" hidden="1" x14ac:dyDescent="0.25">
      <c r="A53" s="33" t="s">
        <v>60</v>
      </c>
      <c r="B53" s="146">
        <v>0</v>
      </c>
      <c r="C53" s="147">
        <v>1</v>
      </c>
      <c r="D53" s="79">
        <v>0</v>
      </c>
      <c r="E53" s="65"/>
    </row>
    <row r="54" spans="1:5" ht="15.75" hidden="1" x14ac:dyDescent="0.25">
      <c r="A54" s="33" t="s">
        <v>163</v>
      </c>
      <c r="B54" s="148"/>
      <c r="C54" s="147">
        <v>8</v>
      </c>
      <c r="D54" s="79">
        <v>1</v>
      </c>
      <c r="E54" s="65">
        <v>0</v>
      </c>
    </row>
    <row r="55" spans="1:5" ht="15.75" hidden="1" x14ac:dyDescent="0.25">
      <c r="A55" s="33" t="s">
        <v>62</v>
      </c>
      <c r="B55" s="146">
        <v>0</v>
      </c>
      <c r="C55" s="96"/>
      <c r="D55" s="92">
        <v>0</v>
      </c>
      <c r="E55" s="65"/>
    </row>
    <row r="56" spans="1:5" s="3" customFormat="1" ht="15.75" x14ac:dyDescent="0.25">
      <c r="A56" s="99" t="s">
        <v>63</v>
      </c>
      <c r="B56" s="29">
        <f>SUM(B57:B62)</f>
        <v>34927.699417600001</v>
      </c>
      <c r="C56" s="80"/>
      <c r="D56" s="92"/>
    </row>
    <row r="57" spans="1:5" ht="15.75" hidden="1" x14ac:dyDescent="0.25">
      <c r="A57" s="33" t="s">
        <v>64</v>
      </c>
      <c r="B57" s="17">
        <v>0</v>
      </c>
      <c r="C57" s="80"/>
      <c r="D57" s="92"/>
      <c r="E57" s="65"/>
    </row>
    <row r="58" spans="1:5" ht="15.75" x14ac:dyDescent="0.25">
      <c r="A58" s="33" t="s">
        <v>65</v>
      </c>
      <c r="B58" s="17">
        <f>18482.4*1.12*1.0952</f>
        <v>22670.955417600002</v>
      </c>
      <c r="C58" s="80"/>
      <c r="D58" s="92"/>
      <c r="E58" s="65"/>
    </row>
    <row r="59" spans="1:5" ht="15.75" x14ac:dyDescent="0.25">
      <c r="A59" s="44" t="s">
        <v>68</v>
      </c>
      <c r="B59" s="17">
        <f>5.1*B15</f>
        <v>1928.31</v>
      </c>
      <c r="C59" s="80"/>
      <c r="D59" s="92"/>
      <c r="E59" s="65"/>
    </row>
    <row r="60" spans="1:5" ht="15.75" x14ac:dyDescent="0.25">
      <c r="A60" s="44" t="s">
        <v>69</v>
      </c>
      <c r="B60" s="17">
        <f>17.7*B15</f>
        <v>6692.37</v>
      </c>
      <c r="C60" s="80"/>
      <c r="D60" s="92"/>
      <c r="E60" s="65"/>
    </row>
    <row r="61" spans="1:5" ht="15.75" x14ac:dyDescent="0.25">
      <c r="A61" s="44" t="s">
        <v>70</v>
      </c>
      <c r="B61" s="17">
        <f>475*1.0952</f>
        <v>520.22</v>
      </c>
      <c r="C61" s="80"/>
      <c r="D61" s="92"/>
      <c r="E61" s="65"/>
    </row>
    <row r="62" spans="1:5" ht="15.75" x14ac:dyDescent="0.25">
      <c r="A62" s="44" t="s">
        <v>71</v>
      </c>
      <c r="B62" s="17">
        <f>2845*1.0952</f>
        <v>3115.8440000000001</v>
      </c>
      <c r="C62" s="80"/>
      <c r="D62" s="92"/>
      <c r="E62" s="65"/>
    </row>
    <row r="63" spans="1:5" ht="63" x14ac:dyDescent="0.25">
      <c r="A63" s="101" t="s">
        <v>164</v>
      </c>
      <c r="B63" s="29">
        <f>SUM(B64:B64)</f>
        <v>13858.6608</v>
      </c>
      <c r="C63" s="80"/>
      <c r="D63" s="92"/>
      <c r="E63" s="65"/>
    </row>
    <row r="64" spans="1:5" ht="15.75" x14ac:dyDescent="0.25">
      <c r="A64" s="44" t="s">
        <v>73</v>
      </c>
      <c r="B64" s="17">
        <f>12654*1.0952</f>
        <v>13858.6608</v>
      </c>
      <c r="C64" s="80"/>
      <c r="D64" s="92"/>
      <c r="E64" s="65"/>
    </row>
    <row r="65" spans="1:4" s="3" customFormat="1" ht="31.5" x14ac:dyDescent="0.25">
      <c r="A65" s="99" t="s">
        <v>74</v>
      </c>
      <c r="B65" s="29">
        <f>SUM(B66:B69)</f>
        <v>1770.6</v>
      </c>
      <c r="C65" s="80"/>
      <c r="D65" s="92"/>
    </row>
    <row r="66" spans="1:4" ht="15.75" hidden="1" x14ac:dyDescent="0.25">
      <c r="A66" s="47" t="s">
        <v>165</v>
      </c>
      <c r="B66" s="17"/>
      <c r="C66" s="80"/>
      <c r="D66" s="92"/>
    </row>
    <row r="67" spans="1:4" ht="15.75" hidden="1" x14ac:dyDescent="0.25">
      <c r="A67" s="151" t="s">
        <v>76</v>
      </c>
      <c r="B67" s="135">
        <f>(B26/1.2)*30%</f>
        <v>0</v>
      </c>
      <c r="C67" s="143"/>
      <c r="D67" s="92"/>
    </row>
    <row r="68" spans="1:4" ht="15.75" x14ac:dyDescent="0.25">
      <c r="A68" s="174" t="s">
        <v>166</v>
      </c>
      <c r="B68" s="17">
        <v>825.6</v>
      </c>
      <c r="C68" s="80"/>
      <c r="D68" s="92"/>
    </row>
    <row r="69" spans="1:4" ht="15.75" x14ac:dyDescent="0.25">
      <c r="A69" s="174" t="s">
        <v>167</v>
      </c>
      <c r="B69" s="17">
        <v>945</v>
      </c>
      <c r="C69" s="80"/>
      <c r="D69" s="92"/>
    </row>
    <row r="70" spans="1:4" ht="15.75" x14ac:dyDescent="0.25">
      <c r="A70" s="103" t="s">
        <v>79</v>
      </c>
      <c r="B70" s="24">
        <f>B32+B42+B46+B56+B63+B65</f>
        <v>94768.373137600007</v>
      </c>
      <c r="C70" s="80"/>
      <c r="D70" s="92"/>
    </row>
    <row r="71" spans="1:4" ht="15.75" x14ac:dyDescent="0.25">
      <c r="A71" s="104" t="s">
        <v>80</v>
      </c>
      <c r="B71" s="17">
        <f>B70*0.03</f>
        <v>2843.0511941280001</v>
      </c>
      <c r="C71" s="80"/>
      <c r="D71" s="92"/>
    </row>
    <row r="72" spans="1:4" s="141" customFormat="1" ht="15.75" x14ac:dyDescent="0.25">
      <c r="A72" s="105" t="s">
        <v>81</v>
      </c>
      <c r="B72" s="29">
        <f>B70+B71</f>
        <v>97611.424331728005</v>
      </c>
      <c r="C72" s="80"/>
      <c r="D72" s="92"/>
    </row>
    <row r="73" spans="1:4" ht="16.5" thickBot="1" x14ac:dyDescent="0.3">
      <c r="A73" s="106" t="s">
        <v>82</v>
      </c>
      <c r="B73" s="53">
        <f>B72*0.2</f>
        <v>19522.284866345602</v>
      </c>
      <c r="C73" s="80"/>
      <c r="D73" s="92"/>
    </row>
    <row r="74" spans="1:4" s="3" customFormat="1" ht="16.5" thickBot="1" x14ac:dyDescent="0.3">
      <c r="A74" s="107" t="s">
        <v>83</v>
      </c>
      <c r="B74" s="55">
        <f>B72+B73</f>
        <v>117133.7091980736</v>
      </c>
      <c r="C74" s="108"/>
      <c r="D74" s="76"/>
    </row>
    <row r="75" spans="1:4" s="3" customFormat="1" ht="16.5" thickBot="1" x14ac:dyDescent="0.3">
      <c r="A75" s="109" t="s">
        <v>84</v>
      </c>
      <c r="B75" s="55">
        <f>B10+B24+B26+B28+B29-B74</f>
        <v>-244017.91919807362</v>
      </c>
      <c r="C75" s="111"/>
      <c r="D75" s="111"/>
    </row>
    <row r="76" spans="1:4" s="3" customFormat="1" ht="16.5" hidden="1" thickBot="1" x14ac:dyDescent="0.3">
      <c r="A76" s="112" t="s">
        <v>85</v>
      </c>
      <c r="B76" s="55"/>
      <c r="C76" s="111"/>
      <c r="D76" s="111"/>
    </row>
    <row r="77" spans="1:4" s="3" customFormat="1" ht="16.5" hidden="1" thickBot="1" x14ac:dyDescent="0.3">
      <c r="A77" s="167" t="s">
        <v>86</v>
      </c>
      <c r="B77" s="55"/>
      <c r="C77" s="111"/>
      <c r="D77" s="111"/>
    </row>
    <row r="78" spans="1:4" s="3" customFormat="1" ht="15.75" x14ac:dyDescent="0.25">
      <c r="A78" s="115"/>
      <c r="B78" s="64"/>
      <c r="C78" s="111"/>
      <c r="D78" s="111"/>
    </row>
    <row r="79" spans="1:4" ht="15.75" x14ac:dyDescent="0.25">
      <c r="A79" s="128"/>
      <c r="B79" s="65"/>
      <c r="C79" s="65"/>
      <c r="D79" s="65"/>
    </row>
    <row r="80" spans="1:4" ht="15.75" x14ac:dyDescent="0.25">
      <c r="A80" s="193" t="s">
        <v>414</v>
      </c>
      <c r="B80" s="193"/>
      <c r="C80" s="65"/>
      <c r="D80" s="65"/>
    </row>
    <row r="81" spans="1:3" ht="15.75" x14ac:dyDescent="0.25">
      <c r="A81" s="128"/>
      <c r="B81" s="161"/>
      <c r="C81" s="65"/>
    </row>
    <row r="82" spans="1:3" ht="15.75" x14ac:dyDescent="0.25">
      <c r="A82" s="209"/>
      <c r="B82" s="209"/>
      <c r="C82" s="161"/>
    </row>
    <row r="89" spans="1:3" ht="15.75" hidden="1" x14ac:dyDescent="0.25">
      <c r="A89" s="65"/>
      <c r="B89" s="129"/>
      <c r="C89" s="65"/>
    </row>
    <row r="90" spans="1:3" ht="15.75" x14ac:dyDescent="0.25">
      <c r="A90" s="65"/>
      <c r="B90" s="65"/>
      <c r="C90" s="65"/>
    </row>
  </sheetData>
  <autoFilter ref="A32:B77" xr:uid="{00000000-0009-0000-0000-00000E000000}">
    <filterColumn colId="1">
      <filters>
        <filter val="1 770,60"/>
        <filter val="1 928,31"/>
        <filter val="117 133,71"/>
        <filter val="13 858,66"/>
        <filter val="19 522,28"/>
        <filter val="2 542,32"/>
        <filter val="2 578,69"/>
        <filter val="2 843,05"/>
        <filter val="2 940,61"/>
        <filter val="22 670,96"/>
        <filter val="-244 017,92"/>
        <filter val="29 543,95"/>
        <filter val="3 115,84"/>
        <filter val="34 927,70"/>
        <filter val="36,37"/>
        <filter val="520,22"/>
        <filter val="6 692,37"/>
        <filter val="825,60"/>
        <filter val="9 148,16"/>
        <filter val="94 768,37"/>
        <filter val="945,00"/>
        <filter val="97 611,42"/>
      </filters>
    </filterColumn>
  </autoFilter>
  <mergeCells count="9">
    <mergeCell ref="D8:D9"/>
    <mergeCell ref="A80:B80"/>
    <mergeCell ref="A82:B82"/>
    <mergeCell ref="A1:B1"/>
    <mergeCell ref="A2:B2"/>
    <mergeCell ref="A3:B3"/>
    <mergeCell ref="A8:A9"/>
    <mergeCell ref="B8:B9"/>
    <mergeCell ref="C8:C9"/>
  </mergeCells>
  <pageMargins left="0.9055118110236221" right="0.9055118110236221" top="0.74803149606299213" bottom="0.74803149606299213" header="0.31496062992125984" footer="0.31496062992125984"/>
  <pageSetup paperSize="9" scale="84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>
    <pageSetUpPr fitToPage="1"/>
  </sheetPr>
  <dimension ref="A1:G95"/>
  <sheetViews>
    <sheetView view="pageBreakPreview" topLeftCell="A16" zoomScale="80" zoomScaleNormal="100" zoomScaleSheetLayoutView="80" workbookViewId="0">
      <selection activeCell="B48" sqref="B48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135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-241404.4199821974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1186.3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328.9</v>
      </c>
      <c r="C14" s="19"/>
      <c r="D14" s="18"/>
    </row>
    <row r="15" spans="1:4" ht="15.75" x14ac:dyDescent="0.25">
      <c r="A15" s="16" t="s">
        <v>14</v>
      </c>
      <c r="B15" s="17">
        <f>B13+B14</f>
        <v>1515.1999999999998</v>
      </c>
      <c r="C15" s="20"/>
      <c r="D15" s="21"/>
    </row>
    <row r="16" spans="1:4" ht="16.5" thickBot="1" x14ac:dyDescent="0.3">
      <c r="A16" s="16" t="s">
        <v>15</v>
      </c>
      <c r="B16" s="17">
        <f>1191.5+908.1/3</f>
        <v>1494.2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836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67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278739.48</v>
      </c>
      <c r="C24" s="18"/>
      <c r="D24" s="21"/>
      <c r="E24" s="67">
        <v>17.3800000395</v>
      </c>
      <c r="F24" s="68">
        <v>19.455172044216301</v>
      </c>
      <c r="G24" s="1"/>
    </row>
    <row r="25" spans="1:7" ht="16.5" thickBot="1" x14ac:dyDescent="0.3">
      <c r="A25" s="23">
        <v>0</v>
      </c>
      <c r="B25" s="24">
        <f>VLOOKUP(A5,Лист11!K:M,3,FALSE)</f>
        <v>267173.18</v>
      </c>
      <c r="C25" s="22"/>
      <c r="D25" s="21"/>
      <c r="E25" s="1"/>
      <c r="F25" s="1"/>
      <c r="G25" s="1"/>
    </row>
    <row r="26" spans="1:7" ht="15.75" x14ac:dyDescent="0.25">
      <c r="A26" s="23" t="s">
        <v>23</v>
      </c>
      <c r="B26" s="24">
        <v>77278.34</v>
      </c>
      <c r="C26" s="15"/>
      <c r="D26" s="18"/>
      <c r="E26" s="1"/>
      <c r="F26" s="1"/>
      <c r="G26" s="1"/>
    </row>
    <row r="27" spans="1:7" ht="16.5" thickBot="1" x14ac:dyDescent="0.3">
      <c r="A27" s="23" t="s">
        <v>24</v>
      </c>
      <c r="B27" s="24">
        <v>96361.06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7459.44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98263.319999999992</v>
      </c>
      <c r="C32" s="18"/>
      <c r="D32" s="21"/>
      <c r="E32" s="30">
        <f>(B86-B26-B24)/1.2/1.03</f>
        <v>18090.853351044385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36000</v>
      </c>
      <c r="C33" s="22"/>
      <c r="D33" s="21">
        <v>11733.58</v>
      </c>
      <c r="E33" s="1"/>
      <c r="F33" s="1"/>
      <c r="G33" s="1"/>
    </row>
    <row r="34" spans="1:7" ht="15.75" hidden="1" x14ac:dyDescent="0.25">
      <c r="A34" s="32" t="s">
        <v>36</v>
      </c>
      <c r="B34" s="17"/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x14ac:dyDescent="0.25">
      <c r="A36" s="32" t="s">
        <v>32</v>
      </c>
      <c r="B36" s="17">
        <v>17875.059999999998</v>
      </c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/>
      <c r="C37" s="21"/>
      <c r="D37" s="18">
        <v>0</v>
      </c>
      <c r="E37" s="1"/>
      <c r="F37" s="1"/>
      <c r="G37" s="1"/>
    </row>
    <row r="38" spans="1:7" ht="16.5" thickBot="1" x14ac:dyDescent="0.3">
      <c r="A38" s="32" t="s">
        <v>155</v>
      </c>
      <c r="B38" s="17">
        <v>44388.259999999995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136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36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74783.11</v>
      </c>
      <c r="C42" s="14"/>
      <c r="D42" s="21"/>
      <c r="E42" s="30"/>
      <c r="F42" s="30"/>
      <c r="G42" s="30"/>
    </row>
    <row r="43" spans="1:7" ht="15.75" x14ac:dyDescent="0.25">
      <c r="A43" s="32" t="s">
        <v>38</v>
      </c>
      <c r="B43" s="17">
        <v>8541.2900000000009</v>
      </c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61589.590000000011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v>4652.2299999999996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9444.6655520543991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553.38*1.1194*1.0952</f>
        <v>678.42555205439999</v>
      </c>
      <c r="C48" s="21"/>
      <c r="D48" s="18"/>
      <c r="E48" s="1" t="s">
        <v>45</v>
      </c>
      <c r="F48" s="1"/>
      <c r="G48" s="1"/>
    </row>
    <row r="49" spans="1:5" ht="15.75" x14ac:dyDescent="0.25">
      <c r="A49" s="36" t="s">
        <v>46</v>
      </c>
      <c r="B49" s="17">
        <v>185.91</v>
      </c>
      <c r="C49" s="21"/>
      <c r="D49" s="18"/>
      <c r="E49" s="1"/>
    </row>
    <row r="50" spans="1:5" ht="15.75" hidden="1" x14ac:dyDescent="0.25">
      <c r="A50" s="36" t="s">
        <v>47</v>
      </c>
      <c r="B50" s="17">
        <v>0</v>
      </c>
      <c r="C50" s="21"/>
      <c r="D50" s="18">
        <v>4190</v>
      </c>
      <c r="E50" s="1"/>
    </row>
    <row r="51" spans="1:5" ht="15.75" hidden="1" x14ac:dyDescent="0.25">
      <c r="A51" s="36" t="s">
        <v>93</v>
      </c>
      <c r="B51" s="17">
        <v>0</v>
      </c>
      <c r="C51" s="21"/>
      <c r="D51" s="18"/>
      <c r="E51" s="1"/>
    </row>
    <row r="52" spans="1:5" ht="15.75" hidden="1" x14ac:dyDescent="0.25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5.75" hidden="1" x14ac:dyDescent="0.25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5.75" hidden="1" x14ac:dyDescent="0.25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5.75" hidden="1" x14ac:dyDescent="0.25">
      <c r="A55" s="36" t="s">
        <v>52</v>
      </c>
      <c r="B55" s="17">
        <v>0</v>
      </c>
      <c r="C55" s="21"/>
      <c r="D55" s="37"/>
      <c r="E55" s="1"/>
    </row>
    <row r="56" spans="1:5" ht="15.75" hidden="1" x14ac:dyDescent="0.25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5.75" hidden="1" x14ac:dyDescent="0.25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5.75" hidden="1" x14ac:dyDescent="0.25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thickBot="1" x14ac:dyDescent="0.3">
      <c r="A60" s="32" t="s">
        <v>419</v>
      </c>
      <c r="B60" s="38">
        <v>8580.33</v>
      </c>
      <c r="C60" s="15"/>
      <c r="D60" s="18"/>
      <c r="E60" s="1"/>
    </row>
    <row r="61" spans="1:5" ht="16.5" hidden="1" thickBot="1" x14ac:dyDescent="0.3">
      <c r="A61" s="32" t="s">
        <v>95</v>
      </c>
      <c r="B61" s="117"/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hidden="1" thickBot="1" x14ac:dyDescent="0.3">
      <c r="A64" s="32" t="s">
        <v>61</v>
      </c>
      <c r="B64" s="38">
        <v>0</v>
      </c>
      <c r="C64" s="40">
        <v>28</v>
      </c>
      <c r="D64" s="21">
        <v>2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>
        <v>34</v>
      </c>
      <c r="D65" s="34">
        <f>650/1.18</f>
        <v>550.84745762711873</v>
      </c>
    </row>
    <row r="66" spans="1:4" s="4" customFormat="1" ht="16.5" thickBot="1" x14ac:dyDescent="0.3">
      <c r="A66" s="42" t="s">
        <v>63</v>
      </c>
      <c r="B66" s="29">
        <f>SUM(B67:B74)</f>
        <v>54500.822647743327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53328.96*1.1194*0.0952</f>
        <v>5683.1008808447996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7727.5199999999986</v>
      </c>
      <c r="C71" s="43"/>
      <c r="D71" s="19"/>
    </row>
    <row r="72" spans="1:4" ht="15.75" x14ac:dyDescent="0.25">
      <c r="A72" s="35" t="s">
        <v>69</v>
      </c>
      <c r="B72" s="17">
        <f>17.7*B15</f>
        <v>26819.039999999997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1690.944220774559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12580.217546123977</v>
      </c>
      <c r="C74" s="34"/>
      <c r="D74" s="19"/>
    </row>
    <row r="75" spans="1:4" ht="63" x14ac:dyDescent="0.25">
      <c r="A75" s="45" t="s">
        <v>72</v>
      </c>
      <c r="B75" s="29">
        <f>SUM(B76:B76)</f>
        <v>44192.360469917687</v>
      </c>
      <c r="C75" s="34"/>
      <c r="D75" s="19"/>
    </row>
    <row r="76" spans="1:4" ht="15.75" x14ac:dyDescent="0.25">
      <c r="A76" s="35" t="s">
        <v>73</v>
      </c>
      <c r="B76" s="17">
        <f>'[1]34ОЭР'!D141*1.1194*1.0952</f>
        <v>44192.360469917687</v>
      </c>
      <c r="C76" s="34"/>
      <c r="D76" s="19"/>
    </row>
    <row r="77" spans="1:4" s="4" customFormat="1" ht="31.5" x14ac:dyDescent="0.25">
      <c r="A77" s="42" t="s">
        <v>74</v>
      </c>
      <c r="B77" s="29">
        <f>SUM(B78:B81)</f>
        <v>24946.882124694726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thickBot="1" x14ac:dyDescent="0.3">
      <c r="A79" s="47" t="s">
        <v>76</v>
      </c>
      <c r="B79" s="17">
        <f>(B26/1.2)*30%</f>
        <v>19319.584999999999</v>
      </c>
      <c r="C79" s="25"/>
      <c r="D79" s="34"/>
    </row>
    <row r="80" spans="1:4" ht="15.75" x14ac:dyDescent="0.25">
      <c r="A80" s="48" t="s">
        <v>77</v>
      </c>
      <c r="B80" s="17">
        <v>2786.4</v>
      </c>
      <c r="C80" s="43"/>
      <c r="D80" s="19"/>
    </row>
    <row r="81" spans="1:4" ht="15.75" x14ac:dyDescent="0.25">
      <c r="A81" s="48" t="s">
        <v>78</v>
      </c>
      <c r="B81" s="17">
        <f>'[1]34тарифы'!D173*B13*1.1194*1.09</f>
        <v>2840.8971246947267</v>
      </c>
      <c r="C81" s="34"/>
      <c r="D81" s="19"/>
    </row>
    <row r="82" spans="1:4" ht="15.75" x14ac:dyDescent="0.25">
      <c r="A82" s="49" t="s">
        <v>79</v>
      </c>
      <c r="B82" s="24">
        <f>B32+B42+B46+B66+B75+B77</f>
        <v>306131.1607944101</v>
      </c>
      <c r="C82" s="34"/>
      <c r="D82" s="19"/>
    </row>
    <row r="83" spans="1:4" ht="15.75" x14ac:dyDescent="0.25">
      <c r="A83" s="50" t="s">
        <v>80</v>
      </c>
      <c r="B83" s="17">
        <f>B82*0.03</f>
        <v>9183.9348238323018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315315.0956182424</v>
      </c>
      <c r="C84" s="34"/>
      <c r="D84" s="19"/>
    </row>
    <row r="85" spans="1:4" ht="16.5" thickBot="1" x14ac:dyDescent="0.3">
      <c r="A85" s="52" t="s">
        <v>82</v>
      </c>
      <c r="B85" s="53">
        <f>B84*0.2</f>
        <v>63063.019123648482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378378.11474189087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-256305.27472408829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2:G89" xr:uid="{00000000-0009-0000-0000-00000F000000}">
    <filterColumn colId="1">
      <filters>
        <filter val="1 690,94"/>
        <filter val="12 580,22"/>
        <filter val="17 875,06"/>
        <filter val="185,91"/>
        <filter val="19 319,59"/>
        <filter val="2 786,40"/>
        <filter val="2 840,90"/>
        <filter val="24 946,88"/>
        <filter val="-256 305,27"/>
        <filter val="26 819,04"/>
        <filter val="306 131,16"/>
        <filter val="315 315,10"/>
        <filter val="36 000,00"/>
        <filter val="378 378,11"/>
        <filter val="4 652,23"/>
        <filter val="44 192,36"/>
        <filter val="44 388,26"/>
        <filter val="5 683,10"/>
        <filter val="54 500,82"/>
        <filter val="61 589,59"/>
        <filter val="63 063,02"/>
        <filter val="678,43"/>
        <filter val="7 727,52"/>
        <filter val="74 783,11"/>
        <filter val="8 541,29"/>
        <filter val="8 580,33"/>
        <filter val="9 183,93"/>
        <filter val="9 444,6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>
    <pageSetUpPr fitToPage="1"/>
  </sheetPr>
  <dimension ref="A1:G95"/>
  <sheetViews>
    <sheetView view="pageBreakPreview" topLeftCell="A12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131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-1073384.4493611122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531.29999999999995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531.29999999999995</v>
      </c>
      <c r="C15" s="20"/>
      <c r="D15" s="21"/>
    </row>
    <row r="16" spans="1:4" ht="16.5" hidden="1" thickBot="1" x14ac:dyDescent="0.3">
      <c r="A16" s="16" t="s">
        <v>15</v>
      </c>
      <c r="B16" s="17">
        <f>590.5+515.8/3</f>
        <v>762.43333333333328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486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632.29999999999995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58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125917.24</v>
      </c>
      <c r="C24" s="18"/>
      <c r="D24" s="21"/>
      <c r="E24" s="67">
        <v>17.339999980799998</v>
      </c>
      <c r="F24" s="68">
        <v>19.410395978507516</v>
      </c>
      <c r="G24" s="1"/>
    </row>
    <row r="25" spans="1:7" ht="16.5" thickBot="1" x14ac:dyDescent="0.3">
      <c r="A25" s="23">
        <v>0</v>
      </c>
      <c r="B25" s="24">
        <f>VLOOKUP(A5,Лист11!K:M,3,FALSE)</f>
        <v>108867.44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1510.2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32446.230000000003</v>
      </c>
      <c r="C32" s="18"/>
      <c r="D32" s="21"/>
      <c r="E32" s="30">
        <f>(B86-B26-B24)/1.2/1.03</f>
        <v>71192.643641394461</v>
      </c>
      <c r="F32" s="30" t="e">
        <f>(#REF!-#REF!-#REF!)/1.2/1.03</f>
        <v>#REF!</v>
      </c>
      <c r="G32" s="30" t="e">
        <f>(#REF!-#REF!-#REF!)/1.2/1.03</f>
        <v>#REF!</v>
      </c>
    </row>
    <row r="33" spans="1:7" ht="16.5" hidden="1" thickBot="1" x14ac:dyDescent="0.3">
      <c r="A33" s="32" t="s">
        <v>29</v>
      </c>
      <c r="B33" s="17">
        <v>0</v>
      </c>
      <c r="C33" s="22"/>
      <c r="D33" s="21">
        <v>15037.66</v>
      </c>
      <c r="E33" s="1"/>
      <c r="F33" s="1"/>
      <c r="G33" s="1"/>
    </row>
    <row r="34" spans="1:7" ht="15.75" x14ac:dyDescent="0.25">
      <c r="A34" s="32" t="s">
        <v>29</v>
      </c>
      <c r="B34" s="17">
        <v>12000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hidden="1" x14ac:dyDescent="0.25">
      <c r="A36" s="32" t="s">
        <v>32</v>
      </c>
      <c r="B36" s="17"/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thickBot="1" x14ac:dyDescent="0.3">
      <c r="A38" s="32" t="s">
        <v>155</v>
      </c>
      <c r="B38" s="17">
        <v>20446.230000000003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/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6151.3700818022244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2524.2199999999998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('[1]34тарифы'!D163*B15+139.81)*1.1194*1.0952</f>
        <v>3627.1500818022241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59843.373896000005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hidden="1" x14ac:dyDescent="0.25">
      <c r="A48" s="32" t="s">
        <v>44</v>
      </c>
      <c r="B48" s="17">
        <v>0</v>
      </c>
      <c r="C48" s="21"/>
      <c r="D48" s="18"/>
      <c r="E48" s="1" t="s">
        <v>45</v>
      </c>
      <c r="F48" s="1"/>
      <c r="G48" s="1"/>
    </row>
    <row r="49" spans="1:4" ht="15.75" x14ac:dyDescent="0.25">
      <c r="A49" s="36" t="s">
        <v>103</v>
      </c>
      <c r="B49" s="17">
        <v>10016.17</v>
      </c>
      <c r="C49" s="21"/>
      <c r="D49" s="18"/>
    </row>
    <row r="50" spans="1:4" ht="15.75" hidden="1" x14ac:dyDescent="0.25">
      <c r="A50" s="36" t="s">
        <v>47</v>
      </c>
      <c r="B50" s="17">
        <v>0</v>
      </c>
      <c r="C50" s="21"/>
      <c r="D50" s="18">
        <v>4190</v>
      </c>
    </row>
    <row r="51" spans="1:4" ht="15.75" hidden="1" x14ac:dyDescent="0.25">
      <c r="A51" s="36" t="s">
        <v>48</v>
      </c>
      <c r="B51" s="17"/>
      <c r="C51" s="21"/>
      <c r="D51" s="18"/>
    </row>
    <row r="52" spans="1:4" ht="15.75" hidden="1" x14ac:dyDescent="0.25">
      <c r="A52" s="36" t="s">
        <v>132</v>
      </c>
      <c r="B52" s="17"/>
      <c r="C52" s="21"/>
      <c r="D52" s="18">
        <v>105.14</v>
      </c>
    </row>
    <row r="53" spans="1:4" ht="15.75" hidden="1" x14ac:dyDescent="0.25">
      <c r="A53" s="36" t="s">
        <v>50</v>
      </c>
      <c r="B53" s="17">
        <v>0</v>
      </c>
      <c r="C53" s="21">
        <v>0</v>
      </c>
      <c r="D53" s="18">
        <v>522.99</v>
      </c>
    </row>
    <row r="54" spans="1:4" ht="15.75" x14ac:dyDescent="0.25">
      <c r="A54" s="116" t="s">
        <v>133</v>
      </c>
      <c r="B54" s="17">
        <v>10300</v>
      </c>
      <c r="C54" s="21">
        <v>1</v>
      </c>
      <c r="D54" s="37">
        <v>657.53</v>
      </c>
    </row>
    <row r="55" spans="1:4" ht="15.75" x14ac:dyDescent="0.25">
      <c r="A55" s="36" t="s">
        <v>418</v>
      </c>
      <c r="B55" s="117">
        <v>2511.9300000000003</v>
      </c>
      <c r="C55" s="21"/>
      <c r="D55" s="37"/>
    </row>
    <row r="56" spans="1:4" ht="15.75" x14ac:dyDescent="0.25">
      <c r="A56" s="36" t="s">
        <v>53</v>
      </c>
      <c r="B56" s="38">
        <f>31246.56*1.0952</f>
        <v>34221.232512000002</v>
      </c>
      <c r="C56" s="21">
        <v>1</v>
      </c>
      <c r="D56" s="18">
        <v>5306.39</v>
      </c>
    </row>
    <row r="57" spans="1:4" ht="15.75" hidden="1" x14ac:dyDescent="0.25">
      <c r="A57" s="36" t="s">
        <v>54</v>
      </c>
      <c r="B57" s="17">
        <v>0</v>
      </c>
      <c r="C57" s="21">
        <v>0</v>
      </c>
      <c r="D57" s="18">
        <f>2300/1.18</f>
        <v>1949.1525423728815</v>
      </c>
    </row>
    <row r="58" spans="1:4" ht="15.75" hidden="1" x14ac:dyDescent="0.25">
      <c r="A58" s="36" t="s">
        <v>134</v>
      </c>
      <c r="B58" s="17"/>
      <c r="C58" s="19">
        <v>0</v>
      </c>
      <c r="D58" s="18">
        <v>0</v>
      </c>
    </row>
    <row r="59" spans="1:4" ht="16.5" hidden="1" thickBot="1" x14ac:dyDescent="0.3">
      <c r="A59" s="36" t="s">
        <v>56</v>
      </c>
      <c r="B59" s="17">
        <f>B13*'[1]34тарифы'!D184</f>
        <v>0</v>
      </c>
      <c r="C59" s="14"/>
      <c r="D59" s="21"/>
    </row>
    <row r="60" spans="1:4" ht="15.75" hidden="1" x14ac:dyDescent="0.25">
      <c r="A60" s="32" t="s">
        <v>57</v>
      </c>
      <c r="B60" s="17">
        <v>0</v>
      </c>
      <c r="C60" s="15"/>
      <c r="D60" s="18"/>
    </row>
    <row r="61" spans="1:4" ht="15.75" hidden="1" x14ac:dyDescent="0.25">
      <c r="A61" s="32" t="s">
        <v>58</v>
      </c>
      <c r="B61" s="17">
        <v>0</v>
      </c>
      <c r="C61" s="21"/>
      <c r="D61" s="18">
        <v>0</v>
      </c>
    </row>
    <row r="62" spans="1:4" ht="15.75" hidden="1" x14ac:dyDescent="0.25">
      <c r="A62" s="32" t="s">
        <v>94</v>
      </c>
      <c r="B62" s="17">
        <v>0</v>
      </c>
      <c r="C62" s="21"/>
      <c r="D62" s="18">
        <v>0</v>
      </c>
    </row>
    <row r="63" spans="1:4" ht="16.5" thickBot="1" x14ac:dyDescent="0.3">
      <c r="A63" s="32" t="s">
        <v>60</v>
      </c>
      <c r="B63" s="38">
        <f>2551.17*1.0952</f>
        <v>2794.0413840000001</v>
      </c>
      <c r="C63" s="39">
        <v>1</v>
      </c>
      <c r="D63" s="18">
        <v>0</v>
      </c>
    </row>
    <row r="64" spans="1:4" ht="16.5" hidden="1" thickBot="1" x14ac:dyDescent="0.3">
      <c r="A64" s="32" t="s">
        <v>61</v>
      </c>
      <c r="B64" s="38">
        <v>0</v>
      </c>
      <c r="C64" s="40">
        <v>31</v>
      </c>
      <c r="D64" s="2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50456.180819768771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27193.56*1.1194*1.0952</f>
        <v>33338.4039092928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2709.6299999999997</v>
      </c>
      <c r="C71" s="43"/>
      <c r="D71" s="19"/>
    </row>
    <row r="72" spans="1:4" ht="15.75" x14ac:dyDescent="0.25">
      <c r="A72" s="35" t="s">
        <v>69</v>
      </c>
      <c r="B72" s="17">
        <f>17.7*B15</f>
        <v>9404.0099999999984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592.92414499572544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4411.2127654802462</v>
      </c>
      <c r="C74" s="34"/>
      <c r="D74" s="19"/>
    </row>
    <row r="75" spans="1:4" ht="63" x14ac:dyDescent="0.25">
      <c r="A75" s="45" t="s">
        <v>72</v>
      </c>
      <c r="B75" s="29">
        <f>SUM(B76:B76)</f>
        <v>19792.127722892412</v>
      </c>
      <c r="C75" s="34"/>
      <c r="D75" s="19"/>
    </row>
    <row r="76" spans="1:4" ht="15.75" x14ac:dyDescent="0.25">
      <c r="A76" s="35" t="s">
        <v>73</v>
      </c>
      <c r="B76" s="17">
        <f>'[1]34ОЭР'!D173*1.1194*1.0952</f>
        <v>19792.127722892412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4378.1507649439754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3199.2</v>
      </c>
      <c r="C80" s="43"/>
      <c r="D80" s="19"/>
    </row>
    <row r="81" spans="1:4" ht="15.75" x14ac:dyDescent="0.25">
      <c r="A81" s="48" t="s">
        <v>78</v>
      </c>
      <c r="B81" s="17">
        <f>'[1]34тарифы'!D173*B13*1.1194*1.01</f>
        <v>1178.9507649439754</v>
      </c>
      <c r="C81" s="34"/>
      <c r="D81" s="19"/>
    </row>
    <row r="82" spans="1:4" ht="15.75" x14ac:dyDescent="0.25">
      <c r="A82" s="49" t="s">
        <v>79</v>
      </c>
      <c r="B82" s="24">
        <f>B32+B42+B46+B66+B75+B77</f>
        <v>173067.4332854074</v>
      </c>
      <c r="C82" s="34"/>
      <c r="D82" s="19"/>
    </row>
    <row r="83" spans="1:4" ht="15.75" x14ac:dyDescent="0.25">
      <c r="A83" s="50" t="s">
        <v>80</v>
      </c>
      <c r="B83" s="17">
        <f>B82*0.03</f>
        <v>5192.0229985622218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178259.45628396963</v>
      </c>
      <c r="C84" s="34"/>
      <c r="D84" s="19"/>
    </row>
    <row r="85" spans="1:4" ht="16.5" thickBot="1" x14ac:dyDescent="0.3">
      <c r="A85" s="52" t="s">
        <v>82</v>
      </c>
      <c r="B85" s="53">
        <f>B84*0.2</f>
        <v>35651.891256793926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213911.34754076356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-1159868.3569018757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0000000}">
    <filterColumn colId="1">
      <filters>
        <filter val="-1 159 868,36"/>
        <filter val="1 178,95"/>
        <filter val="10 016,17"/>
        <filter val="10 300,00"/>
        <filter val="12 000,00"/>
        <filter val="173 067,43"/>
        <filter val="178 259,46"/>
        <filter val="19 792,13"/>
        <filter val="2 524,22"/>
        <filter val="2 709,63"/>
        <filter val="2 794,04"/>
        <filter val="20 446,23"/>
        <filter val="213 911,35"/>
        <filter val="2511,93"/>
        <filter val="3 199,20"/>
        <filter val="3 627,15"/>
        <filter val="32 446,23"/>
        <filter val="33 338,40"/>
        <filter val="34 221,23"/>
        <filter val="35 651,89"/>
        <filter val="4 378,15"/>
        <filter val="4 411,21"/>
        <filter val="5 192,02"/>
        <filter val="50 456,18"/>
        <filter val="59 843,37"/>
        <filter val="592,92"/>
        <filter val="6 151,37"/>
        <filter val="9 404,0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130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-35405.910516163451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675.9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5.75" x14ac:dyDescent="0.25">
      <c r="A15" s="16" t="s">
        <v>14</v>
      </c>
      <c r="B15" s="17">
        <f>B13+B14</f>
        <v>675.9</v>
      </c>
      <c r="C15" s="20"/>
      <c r="D15" s="21"/>
    </row>
    <row r="16" spans="1:4" ht="16.5" thickBot="1" x14ac:dyDescent="0.3">
      <c r="A16" s="16" t="s">
        <v>15</v>
      </c>
      <c r="B16" s="17">
        <f>390.5+1354.2/3</f>
        <v>841.90000000000009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220.1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242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27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169051.02</v>
      </c>
      <c r="C24" s="18"/>
      <c r="D24" s="21"/>
      <c r="E24" s="67">
        <v>18.369999964000002</v>
      </c>
      <c r="F24" s="68">
        <v>20.563377959701601</v>
      </c>
      <c r="G24" s="1"/>
    </row>
    <row r="25" spans="1:7" ht="16.5" thickBot="1" x14ac:dyDescent="0.3">
      <c r="A25" s="23">
        <v>0</v>
      </c>
      <c r="B25" s="24">
        <f>VLOOKUP(A5,Лист11!K:M,3,FALSE)</f>
        <v>157919.22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3950.88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41859.46</v>
      </c>
      <c r="C32" s="18"/>
      <c r="D32" s="21"/>
      <c r="E32" s="30">
        <f>(B86-B26-B24)/1.2/1.03</f>
        <v>3746.3620197227174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35000</v>
      </c>
      <c r="C33" s="22"/>
      <c r="D33" s="21">
        <v>15538.9</v>
      </c>
      <c r="E33" s="1"/>
      <c r="F33" s="1"/>
      <c r="G33" s="1"/>
    </row>
    <row r="34" spans="1:7" ht="16.5" thickBot="1" x14ac:dyDescent="0.3">
      <c r="A34" s="32" t="s">
        <v>155</v>
      </c>
      <c r="B34" s="17">
        <v>6859.46</v>
      </c>
      <c r="C34" s="15"/>
      <c r="D34" s="18">
        <v>0</v>
      </c>
      <c r="E34" s="1"/>
      <c r="F34" s="1"/>
      <c r="G34" s="1"/>
    </row>
    <row r="35" spans="1:7" ht="16.5" hidden="1" thickBot="1" x14ac:dyDescent="0.3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6.5" hidden="1" thickBot="1" x14ac:dyDescent="0.3">
      <c r="A36" s="32" t="s">
        <v>32</v>
      </c>
      <c r="B36" s="17"/>
      <c r="C36" s="21" t="s">
        <v>11</v>
      </c>
      <c r="D36" s="18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hidden="1" thickBot="1" x14ac:dyDescent="0.3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5739.9386976553797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1213.75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('[1]34тарифы'!D163*B15+105.97)*1.1194*1.0952</f>
        <v>4526.1886976553797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6281.6843308992002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1494.84*1.1194*1.0952</f>
        <v>1832.6243308991998</v>
      </c>
      <c r="C48" s="21"/>
      <c r="D48" s="18"/>
      <c r="E48" s="1" t="s">
        <v>45</v>
      </c>
      <c r="F48" s="1"/>
      <c r="G48" s="1"/>
    </row>
    <row r="49" spans="1:5" ht="15.75" hidden="1" x14ac:dyDescent="0.25">
      <c r="A49" s="36" t="s">
        <v>46</v>
      </c>
      <c r="B49" s="17"/>
      <c r="C49" s="21"/>
      <c r="D49" s="18"/>
      <c r="E49" s="1"/>
    </row>
    <row r="50" spans="1:5" ht="15.75" hidden="1" x14ac:dyDescent="0.25">
      <c r="A50" s="36" t="s">
        <v>47</v>
      </c>
      <c r="B50" s="17">
        <v>0</v>
      </c>
      <c r="C50" s="21"/>
      <c r="D50" s="18">
        <v>4190</v>
      </c>
      <c r="E50" s="1"/>
    </row>
    <row r="51" spans="1:5" ht="15.75" hidden="1" x14ac:dyDescent="0.25">
      <c r="A51" s="36" t="s">
        <v>93</v>
      </c>
      <c r="B51" s="17">
        <v>0</v>
      </c>
      <c r="C51" s="21"/>
      <c r="D51" s="18"/>
      <c r="E51" s="1"/>
    </row>
    <row r="52" spans="1:5" ht="15.75" hidden="1" x14ac:dyDescent="0.25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5.75" hidden="1" x14ac:dyDescent="0.25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5.75" hidden="1" x14ac:dyDescent="0.25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5.75" hidden="1" x14ac:dyDescent="0.25">
      <c r="A55" s="36" t="s">
        <v>52</v>
      </c>
      <c r="B55" s="17">
        <v>0</v>
      </c>
      <c r="C55" s="21"/>
      <c r="D55" s="37"/>
      <c r="E55" s="1"/>
    </row>
    <row r="56" spans="1:5" ht="15.75" hidden="1" x14ac:dyDescent="0.25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thickBot="1" x14ac:dyDescent="0.3">
      <c r="A57" s="36" t="s">
        <v>418</v>
      </c>
      <c r="B57" s="17">
        <v>4449.0600000000004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96</v>
      </c>
      <c r="B58" s="17"/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hidden="1" thickBot="1" x14ac:dyDescent="0.3">
      <c r="A64" s="32" t="s">
        <v>61</v>
      </c>
      <c r="B64" s="38">
        <v>0</v>
      </c>
      <c r="C64" s="40">
        <v>14</v>
      </c>
      <c r="D64" s="21">
        <v>2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58529.376415203711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29758.08*1.1194*1.0952</f>
        <v>36482.420492390404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5.5*B15</f>
        <v>3717.45</v>
      </c>
      <c r="C71" s="43"/>
      <c r="D71" s="19"/>
    </row>
    <row r="72" spans="1:4" ht="15.75" x14ac:dyDescent="0.25">
      <c r="A72" s="35" t="s">
        <v>69</v>
      </c>
      <c r="B72" s="17">
        <f>17.7*B15</f>
        <v>11963.429999999998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754.29593375232616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5611.7799890609795</v>
      </c>
      <c r="C74" s="34"/>
      <c r="D74" s="19"/>
    </row>
    <row r="75" spans="1:4" ht="63" x14ac:dyDescent="0.25">
      <c r="A75" s="45" t="s">
        <v>72</v>
      </c>
      <c r="B75" s="29">
        <f>SUM(B76:B76)</f>
        <v>25178.805059105929</v>
      </c>
      <c r="C75" s="34"/>
      <c r="D75" s="19"/>
    </row>
    <row r="76" spans="1:4" ht="15.75" x14ac:dyDescent="0.25">
      <c r="A76" s="35" t="s">
        <v>73</v>
      </c>
      <c r="B76" s="17">
        <f>'[1]34ОЭР'!D175*1.1194*1.0952</f>
        <v>25178.805059105929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2929.7674197711067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1444.8</v>
      </c>
      <c r="C80" s="43"/>
      <c r="D80" s="19"/>
    </row>
    <row r="81" spans="1:4" ht="15.75" x14ac:dyDescent="0.25">
      <c r="A81" s="48" t="s">
        <v>78</v>
      </c>
      <c r="B81" s="17">
        <f>'[1]34тарифы'!D173*B13*1.1194</f>
        <v>1484.9674197711067</v>
      </c>
      <c r="C81" s="34"/>
      <c r="D81" s="19"/>
    </row>
    <row r="82" spans="1:4" ht="15.75" x14ac:dyDescent="0.25">
      <c r="A82" s="49" t="s">
        <v>79</v>
      </c>
      <c r="B82" s="24">
        <f>B32+B42+B46+B66+B75+B77</f>
        <v>140519.03192263533</v>
      </c>
      <c r="C82" s="34"/>
      <c r="D82" s="19"/>
    </row>
    <row r="83" spans="1:4" ht="15.75" x14ac:dyDescent="0.25">
      <c r="A83" s="50" t="s">
        <v>80</v>
      </c>
      <c r="B83" s="17">
        <f>B82*0.03</f>
        <v>4215.5709576790596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144734.6028803144</v>
      </c>
      <c r="C84" s="34"/>
      <c r="D84" s="19"/>
    </row>
    <row r="85" spans="1:4" ht="16.5" thickBot="1" x14ac:dyDescent="0.3">
      <c r="A85" s="52" t="s">
        <v>82</v>
      </c>
      <c r="B85" s="53">
        <f>B84*0.2</f>
        <v>28946.920576062883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173681.52345637727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-36085.533972540725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1000000}">
    <filterColumn colId="1">
      <filters>
        <filter val="1 213,75"/>
        <filter val="1 444,80"/>
        <filter val="1 484,97"/>
        <filter val="1 832,62"/>
        <filter val="11 963,43"/>
        <filter val="140 519,03"/>
        <filter val="144 734,60"/>
        <filter val="173 681,52"/>
        <filter val="2 929,77"/>
        <filter val="25 178,81"/>
        <filter val="28 946,92"/>
        <filter val="3 717,45"/>
        <filter val="35 000,00"/>
        <filter val="-36 085,53"/>
        <filter val="36 482,42"/>
        <filter val="4 215,57"/>
        <filter val="4 449,06"/>
        <filter val="4 526,19"/>
        <filter val="41 859,46"/>
        <filter val="5 611,78"/>
        <filter val="5 739,94"/>
        <filter val="58 529,38"/>
        <filter val="6 281,68"/>
        <filter val="6 859,46"/>
        <filter val="754,3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>
    <pageSetUpPr fitToPage="1"/>
  </sheetPr>
  <dimension ref="A1:G95"/>
  <sheetViews>
    <sheetView view="pageBreakPreview" topLeftCell="A71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129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-172559.02621595084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658.3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5.75" x14ac:dyDescent="0.25">
      <c r="A15" s="16" t="s">
        <v>14</v>
      </c>
      <c r="B15" s="17">
        <f>B13+B14</f>
        <v>658.3</v>
      </c>
      <c r="C15" s="20"/>
      <c r="D15" s="21"/>
    </row>
    <row r="16" spans="1:4" ht="16.5" thickBot="1" x14ac:dyDescent="0.3">
      <c r="A16" s="16" t="s">
        <v>15</v>
      </c>
      <c r="B16" s="17">
        <f>535.3+2272.5/3</f>
        <v>1292.8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223.1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242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32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193290.22</v>
      </c>
      <c r="C24" s="18"/>
      <c r="D24" s="21"/>
      <c r="E24" s="67">
        <v>21.590000008499999</v>
      </c>
      <c r="F24" s="68">
        <v>24.167846009514896</v>
      </c>
      <c r="G24" s="1"/>
    </row>
    <row r="25" spans="1:7" ht="16.5" thickBot="1" x14ac:dyDescent="0.3">
      <c r="A25" s="23">
        <v>0</v>
      </c>
      <c r="B25" s="24">
        <f>VLOOKUP(A5,Лист11!K:M,3,FALSE)</f>
        <v>183644.94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3950.88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38000</v>
      </c>
      <c r="C32" s="18"/>
      <c r="D32" s="21"/>
      <c r="E32" s="30">
        <f>(B86-B26-B24)/1.2/1.03</f>
        <v>17210.150036393647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38000</v>
      </c>
      <c r="C33" s="22"/>
      <c r="D33" s="21">
        <v>16678.810000000001</v>
      </c>
      <c r="E33" s="1">
        <v>13680.68</v>
      </c>
      <c r="F33" s="1"/>
      <c r="G33" s="1"/>
    </row>
    <row r="34" spans="1:7" ht="16.5" hidden="1" thickBot="1" x14ac:dyDescent="0.3">
      <c r="A34" s="32" t="s">
        <v>100</v>
      </c>
      <c r="B34" s="17"/>
      <c r="C34" s="15"/>
      <c r="D34" s="18">
        <v>0</v>
      </c>
      <c r="E34" s="1"/>
      <c r="F34" s="1"/>
      <c r="G34" s="1"/>
    </row>
    <row r="35" spans="1:7" ht="16.5" hidden="1" thickBot="1" x14ac:dyDescent="0.3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6.5" hidden="1" thickBot="1" x14ac:dyDescent="0.3">
      <c r="A36" s="32" t="s">
        <v>32</v>
      </c>
      <c r="B36" s="17"/>
      <c r="C36" s="21" t="s">
        <v>11</v>
      </c>
      <c r="D36" s="18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hidden="1" thickBot="1" x14ac:dyDescent="0.3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/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12731.911465955876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8212.89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('[1]34тарифы'!D163*B15+193.5)*1.1194*1.0952</f>
        <v>4519.0214659558778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18298.456486339201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1520.34*1.1194*1.0952</f>
        <v>1863.8864863391998</v>
      </c>
      <c r="C48" s="21"/>
      <c r="D48" s="18"/>
      <c r="E48" s="1" t="s">
        <v>45</v>
      </c>
      <c r="F48" s="1"/>
      <c r="G48" s="1"/>
    </row>
    <row r="49" spans="1:5" ht="16.5" thickBot="1" x14ac:dyDescent="0.3">
      <c r="A49" s="36" t="s">
        <v>103</v>
      </c>
      <c r="B49" s="117">
        <v>11985.51</v>
      </c>
      <c r="C49" s="21"/>
      <c r="D49" s="18"/>
      <c r="E49" s="1"/>
    </row>
    <row r="50" spans="1:5" ht="16.5" hidden="1" thickBot="1" x14ac:dyDescent="0.3">
      <c r="A50" s="36" t="s">
        <v>47</v>
      </c>
      <c r="B50" s="17">
        <v>0</v>
      </c>
      <c r="C50" s="21"/>
      <c r="D50" s="18">
        <v>4190</v>
      </c>
      <c r="E50" s="1"/>
    </row>
    <row r="51" spans="1:5" ht="16.5" hidden="1" thickBot="1" x14ac:dyDescent="0.3">
      <c r="A51" s="36" t="s">
        <v>93</v>
      </c>
      <c r="B51" s="17">
        <v>0</v>
      </c>
      <c r="C51" s="21"/>
      <c r="D51" s="18"/>
      <c r="E51" s="1"/>
    </row>
    <row r="52" spans="1:5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thickBot="1" x14ac:dyDescent="0.3">
      <c r="A64" s="32" t="s">
        <v>61</v>
      </c>
      <c r="B64" s="38">
        <v>4449.0600000000004</v>
      </c>
      <c r="C64" s="40">
        <v>14</v>
      </c>
      <c r="D64" s="21">
        <v>2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77149.190179841346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45629*1.1194*1.0952</f>
        <v>55939.642767519996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3357.3299999999995</v>
      </c>
      <c r="C71" s="43"/>
      <c r="D71" s="19"/>
    </row>
    <row r="72" spans="1:4" ht="15.75" x14ac:dyDescent="0.25">
      <c r="A72" s="35" t="s">
        <v>69</v>
      </c>
      <c r="B72" s="17">
        <f>17.7*B15</f>
        <v>11651.909999999998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734.65455420795411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5465.6528581133925</v>
      </c>
      <c r="C74" s="34"/>
      <c r="D74" s="19"/>
    </row>
    <row r="75" spans="1:4" ht="63" x14ac:dyDescent="0.25">
      <c r="A75" s="45" t="s">
        <v>72</v>
      </c>
      <c r="B75" s="29">
        <f>SUM(B76:B76)</f>
        <v>24523.165217353802</v>
      </c>
      <c r="C75" s="34"/>
      <c r="D75" s="19"/>
    </row>
    <row r="76" spans="1:4" ht="15.75" x14ac:dyDescent="0.25">
      <c r="A76" s="35" t="s">
        <v>73</v>
      </c>
      <c r="B76" s="17">
        <f>'[1]34ОЭР'!D177*1.1194*1.0952</f>
        <v>24523.165217353802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2891.0998260620199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1444.8</v>
      </c>
      <c r="C80" s="43"/>
      <c r="D80" s="19"/>
    </row>
    <row r="81" spans="1:4" ht="15.75" x14ac:dyDescent="0.25">
      <c r="A81" s="48" t="s">
        <v>78</v>
      </c>
      <c r="B81" s="17">
        <f>'[1]34тарифы'!D173*B13*1.1194</f>
        <v>1446.2998260620202</v>
      </c>
      <c r="C81" s="34"/>
      <c r="D81" s="19"/>
    </row>
    <row r="82" spans="1:4" ht="15.75" x14ac:dyDescent="0.25">
      <c r="A82" s="49" t="s">
        <v>79</v>
      </c>
      <c r="B82" s="24">
        <f>B32+B42+B46+B66+B75+B77</f>
        <v>173593.82317555221</v>
      </c>
      <c r="C82" s="34"/>
      <c r="D82" s="19"/>
    </row>
    <row r="83" spans="1:4" ht="15.75" x14ac:dyDescent="0.25">
      <c r="A83" s="50" t="s">
        <v>80</v>
      </c>
      <c r="B83" s="17">
        <f>B82*0.03</f>
        <v>5207.8146952665666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178801.63787081878</v>
      </c>
      <c r="C84" s="34"/>
      <c r="D84" s="19"/>
    </row>
    <row r="85" spans="1:4" ht="16.5" thickBot="1" x14ac:dyDescent="0.3">
      <c r="A85" s="52" t="s">
        <v>82</v>
      </c>
      <c r="B85" s="53">
        <f>B84*0.2</f>
        <v>35760.327574163755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214561.96544498255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-189879.89166093338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2000000}">
    <filterColumn colId="1">
      <filters>
        <filter val="1 444,80"/>
        <filter val="1 446,30"/>
        <filter val="1 863,89"/>
        <filter val="11 651,91"/>
        <filter val="11985,51"/>
        <filter val="12 731,91"/>
        <filter val="173 593,82"/>
        <filter val="178 801,64"/>
        <filter val="18 298,46"/>
        <filter val="-189 879,89"/>
        <filter val="2 891,10"/>
        <filter val="214 561,97"/>
        <filter val="24 523,17"/>
        <filter val="3 357,33"/>
        <filter val="35 760,33"/>
        <filter val="38 000,00"/>
        <filter val="4 449,06"/>
        <filter val="4 519,02"/>
        <filter val="5 207,81"/>
        <filter val="5 465,65"/>
        <filter val="55 939,64"/>
        <filter val="734,65"/>
        <filter val="77 149,19"/>
        <filter val="8 212,8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9" tint="-0.249977111117893"/>
    <pageSetUpPr fitToPage="1"/>
  </sheetPr>
  <dimension ref="A1:G95"/>
  <sheetViews>
    <sheetView view="pageBreakPreview" topLeftCell="A77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5" ht="16.5" customHeight="1" x14ac:dyDescent="0.25">
      <c r="A1" s="195" t="s">
        <v>0</v>
      </c>
      <c r="B1" s="196"/>
      <c r="C1" s="1"/>
      <c r="D1" s="1"/>
      <c r="E1" s="1"/>
    </row>
    <row r="2" spans="1:5" ht="16.5" x14ac:dyDescent="0.25">
      <c r="A2" s="197" t="s">
        <v>1</v>
      </c>
      <c r="B2" s="198"/>
      <c r="C2" s="1"/>
      <c r="D2" s="1"/>
      <c r="E2" s="1"/>
    </row>
    <row r="3" spans="1:5" ht="16.5" x14ac:dyDescent="0.25">
      <c r="A3" s="197" t="s">
        <v>2</v>
      </c>
      <c r="B3" s="198"/>
      <c r="C3" s="1"/>
      <c r="D3" s="1"/>
      <c r="E3" s="1"/>
    </row>
    <row r="4" spans="1:5" ht="15.75" x14ac:dyDescent="0.25">
      <c r="A4" s="2" t="s">
        <v>97</v>
      </c>
      <c r="B4" s="69"/>
      <c r="C4" s="1"/>
      <c r="D4" s="1"/>
      <c r="E4" s="1"/>
    </row>
    <row r="5" spans="1:5" ht="15.75" x14ac:dyDescent="0.25">
      <c r="A5" s="2" t="s">
        <v>146</v>
      </c>
      <c r="B5" s="69"/>
      <c r="C5" s="1"/>
      <c r="D5" s="1"/>
      <c r="E5" s="1"/>
    </row>
    <row r="6" spans="1:5" ht="5.25" customHeight="1" x14ac:dyDescent="0.25">
      <c r="A6" s="2"/>
      <c r="B6" s="3"/>
      <c r="C6" s="4"/>
      <c r="D6" s="1"/>
      <c r="E6" s="1"/>
    </row>
    <row r="7" spans="1:5" ht="16.5" thickBot="1" x14ac:dyDescent="0.3">
      <c r="A7" s="5"/>
      <c r="B7" s="3"/>
      <c r="C7" s="4"/>
      <c r="D7" s="1"/>
      <c r="E7" s="1"/>
    </row>
    <row r="8" spans="1:5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  <c r="E8" s="1"/>
    </row>
    <row r="9" spans="1:5" ht="28.5" customHeight="1" thickBot="1" x14ac:dyDescent="0.3">
      <c r="A9" s="200"/>
      <c r="B9" s="202"/>
      <c r="C9" s="204"/>
      <c r="D9" s="191"/>
      <c r="E9" s="1"/>
    </row>
    <row r="10" spans="1:5" ht="16.5" thickBot="1" x14ac:dyDescent="0.3">
      <c r="A10" s="6" t="s">
        <v>8</v>
      </c>
      <c r="B10" s="7">
        <v>-279058.86</v>
      </c>
      <c r="C10" s="8"/>
      <c r="D10" s="9"/>
      <c r="E10" s="7">
        <v>-231420</v>
      </c>
    </row>
    <row r="11" spans="1:5" ht="16.5" hidden="1" thickBot="1" x14ac:dyDescent="0.3">
      <c r="A11" s="10" t="s">
        <v>9</v>
      </c>
      <c r="B11" s="118"/>
      <c r="C11" s="9"/>
      <c r="D11" s="11"/>
      <c r="E11" s="1"/>
    </row>
    <row r="12" spans="1:5" ht="16.5" thickBot="1" x14ac:dyDescent="0.3">
      <c r="A12" s="12" t="s">
        <v>10</v>
      </c>
      <c r="B12" s="13"/>
      <c r="C12" s="14" t="s">
        <v>11</v>
      </c>
      <c r="D12" s="15" t="s">
        <v>11</v>
      </c>
      <c r="E12" s="1"/>
    </row>
    <row r="13" spans="1:5" ht="16.5" hidden="1" thickBot="1" x14ac:dyDescent="0.3">
      <c r="A13" s="16" t="s">
        <v>12</v>
      </c>
      <c r="B13" s="17">
        <v>1279.9000000000001</v>
      </c>
      <c r="C13" s="15" t="s">
        <v>11</v>
      </c>
      <c r="D13" s="18" t="s">
        <v>11</v>
      </c>
      <c r="E13" s="1"/>
    </row>
    <row r="14" spans="1:5" ht="16.5" hidden="1" thickBot="1" x14ac:dyDescent="0.3">
      <c r="A14" s="16" t="s">
        <v>13</v>
      </c>
      <c r="B14" s="17">
        <v>0</v>
      </c>
      <c r="C14" s="19"/>
      <c r="D14" s="18"/>
      <c r="E14" s="1"/>
    </row>
    <row r="15" spans="1:5" ht="16.5" hidden="1" thickBot="1" x14ac:dyDescent="0.3">
      <c r="A15" s="16" t="s">
        <v>14</v>
      </c>
      <c r="B15" s="17">
        <f>B13+B14</f>
        <v>1279.9000000000001</v>
      </c>
      <c r="C15" s="20"/>
      <c r="D15" s="21"/>
      <c r="E15" s="1"/>
    </row>
    <row r="16" spans="1:5" ht="16.5" hidden="1" thickBot="1" x14ac:dyDescent="0.3">
      <c r="A16" s="16" t="s">
        <v>15</v>
      </c>
      <c r="B16" s="17">
        <f>328.5+1964.1/3</f>
        <v>983.19999999999993</v>
      </c>
      <c r="C16" s="22" t="s">
        <v>11</v>
      </c>
      <c r="D16" s="21" t="s">
        <v>11</v>
      </c>
      <c r="E16" s="1"/>
    </row>
    <row r="17" spans="1:7" ht="16.5" hidden="1" thickBot="1" x14ac:dyDescent="0.3">
      <c r="A17" s="16" t="s">
        <v>16</v>
      </c>
      <c r="B17" s="119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19">
        <v>340.7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19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19">
        <v>374.8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19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19">
        <v>82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v>253213.26</v>
      </c>
      <c r="C24" s="18"/>
      <c r="D24" s="21"/>
      <c r="E24" s="67">
        <v>14.5500000165</v>
      </c>
      <c r="F24" s="68">
        <v>16.2872700184701</v>
      </c>
      <c r="G24" s="1"/>
    </row>
    <row r="25" spans="1:7" ht="16.5" thickBot="1" x14ac:dyDescent="0.3">
      <c r="A25" s="23">
        <v>0</v>
      </c>
      <c r="B25" s="24">
        <v>246603.74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120">
        <v>0</v>
      </c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120"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7459.44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120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37528.79</v>
      </c>
      <c r="C32" s="18"/>
      <c r="D32" s="21"/>
      <c r="E32" s="30">
        <f>(B86-B26-B24)/1.2/1.03</f>
        <v>21338.946817798049</v>
      </c>
      <c r="F32" s="30" t="e">
        <f>(#REF!-#REF!-#REF!)/1.2/1.03</f>
        <v>#REF!</v>
      </c>
      <c r="G32" s="30" t="e">
        <f>(#REF!-#REF!-#REF!)/1.2/1.03</f>
        <v>#REF!</v>
      </c>
    </row>
    <row r="33" spans="1:7" ht="16.5" hidden="1" thickBot="1" x14ac:dyDescent="0.3">
      <c r="A33" s="32" t="s">
        <v>29</v>
      </c>
      <c r="B33" s="17"/>
      <c r="C33" s="22"/>
      <c r="D33" s="21">
        <v>15447.32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hidden="1" x14ac:dyDescent="0.25">
      <c r="A36" s="32" t="s">
        <v>32</v>
      </c>
      <c r="B36" s="17"/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5.75" hidden="1" x14ac:dyDescent="0.25">
      <c r="A38" s="32" t="s">
        <v>36</v>
      </c>
      <c r="B38" s="17"/>
      <c r="C38" s="21"/>
      <c r="D38" s="18">
        <v>0</v>
      </c>
      <c r="E38" s="1"/>
      <c r="F38" s="1"/>
      <c r="G38" s="1"/>
    </row>
    <row r="39" spans="1:7" ht="31.5" hidden="1" x14ac:dyDescent="0.25">
      <c r="A39" s="32" t="s">
        <v>35</v>
      </c>
      <c r="B39" s="119">
        <v>0</v>
      </c>
      <c r="C39" s="21"/>
      <c r="D39" s="18">
        <v>0</v>
      </c>
      <c r="E39" s="1"/>
      <c r="F39" s="1"/>
      <c r="G39" s="1"/>
    </row>
    <row r="40" spans="1:7" ht="16.5" thickBot="1" x14ac:dyDescent="0.3">
      <c r="A40" s="32" t="s">
        <v>30</v>
      </c>
      <c r="B40" s="119">
        <v>37528.79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124</v>
      </c>
      <c r="B41" s="119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19275.837086414478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11456.699999999999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('[1]34тарифы'!D163*B15+125.49)*1.1194*1.01</f>
        <v>7819.1370864144783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40117.711432999997</v>
      </c>
      <c r="C46" s="14"/>
      <c r="D46" s="21"/>
    </row>
    <row r="47" spans="1:7" ht="15.75" hidden="1" x14ac:dyDescent="0.25">
      <c r="A47" s="32" t="s">
        <v>42</v>
      </c>
      <c r="B47" s="119">
        <v>0</v>
      </c>
      <c r="C47" s="15"/>
      <c r="D47" s="18"/>
      <c r="E47" s="1" t="s">
        <v>43</v>
      </c>
      <c r="F47" s="1"/>
      <c r="G47" s="123">
        <f>B46+G59+G58-B59</f>
        <v>52497.211432999997</v>
      </c>
    </row>
    <row r="48" spans="1:7" ht="15.75" x14ac:dyDescent="0.25">
      <c r="A48" s="32" t="s">
        <v>44</v>
      </c>
      <c r="B48" s="119">
        <f>2418.9*1.1194*1.01</f>
        <v>2734.7938266000001</v>
      </c>
      <c r="C48" s="21"/>
      <c r="D48" s="18"/>
      <c r="E48" s="1" t="s">
        <v>45</v>
      </c>
      <c r="F48" s="1"/>
      <c r="G48" s="1"/>
    </row>
    <row r="49" spans="1:7" ht="15.75" hidden="1" x14ac:dyDescent="0.25">
      <c r="A49" s="36" t="s">
        <v>117</v>
      </c>
      <c r="B49" s="119">
        <v>0</v>
      </c>
      <c r="C49" s="21"/>
      <c r="D49" s="18"/>
      <c r="E49" s="1"/>
      <c r="F49" s="1"/>
      <c r="G49" s="1"/>
    </row>
    <row r="50" spans="1:7" ht="15.75" hidden="1" x14ac:dyDescent="0.25">
      <c r="A50" s="36" t="s">
        <v>47</v>
      </c>
      <c r="B50" s="119">
        <v>0</v>
      </c>
      <c r="C50" s="21"/>
      <c r="D50" s="18">
        <v>4190</v>
      </c>
      <c r="E50" s="1"/>
      <c r="F50" s="1"/>
      <c r="G50" s="1"/>
    </row>
    <row r="51" spans="1:7" ht="15.75" hidden="1" x14ac:dyDescent="0.25">
      <c r="A51" s="36" t="s">
        <v>104</v>
      </c>
      <c r="B51" s="119"/>
      <c r="C51" s="21"/>
      <c r="D51" s="18"/>
      <c r="E51" s="1"/>
      <c r="F51" s="1"/>
      <c r="G51" s="1"/>
    </row>
    <row r="52" spans="1:7" ht="15.75" x14ac:dyDescent="0.25">
      <c r="A52" s="36" t="s">
        <v>46</v>
      </c>
      <c r="B52" s="119">
        <v>114.43</v>
      </c>
      <c r="C52" s="21"/>
      <c r="D52" s="18">
        <v>105.14</v>
      </c>
      <c r="E52" s="1"/>
      <c r="F52" s="1"/>
      <c r="G52" s="1"/>
    </row>
    <row r="53" spans="1:7" ht="15.75" x14ac:dyDescent="0.25">
      <c r="A53" s="36" t="s">
        <v>147</v>
      </c>
      <c r="B53" s="17">
        <v>10300</v>
      </c>
      <c r="C53" s="21">
        <v>1</v>
      </c>
      <c r="D53" s="18">
        <v>522.99</v>
      </c>
      <c r="E53" s="1"/>
      <c r="F53" s="1"/>
      <c r="G53" s="1"/>
    </row>
    <row r="54" spans="1:7" ht="15.75" x14ac:dyDescent="0.25">
      <c r="A54" s="116" t="s">
        <v>148</v>
      </c>
      <c r="B54" s="17">
        <v>24000</v>
      </c>
      <c r="C54" s="21">
        <v>1</v>
      </c>
      <c r="D54" s="37">
        <v>657.53</v>
      </c>
      <c r="E54" s="1"/>
      <c r="F54" s="1"/>
      <c r="G54" s="1"/>
    </row>
    <row r="55" spans="1:7" ht="15.75" hidden="1" x14ac:dyDescent="0.25">
      <c r="A55" s="36" t="s">
        <v>149</v>
      </c>
      <c r="B55" s="119"/>
      <c r="C55" s="21"/>
      <c r="D55" s="37"/>
      <c r="E55" s="1"/>
      <c r="F55" s="1"/>
      <c r="G55" s="1"/>
    </row>
    <row r="56" spans="1:7" ht="15.75" x14ac:dyDescent="0.25">
      <c r="A56" s="36" t="s">
        <v>96</v>
      </c>
      <c r="B56" s="119">
        <f>1960.8*1.1194*1.01</f>
        <v>2216.8687151999998</v>
      </c>
      <c r="C56" s="21">
        <v>0</v>
      </c>
      <c r="D56" s="18">
        <f>10695.76/1.18</f>
        <v>9064.203389830509</v>
      </c>
      <c r="E56" s="1"/>
      <c r="F56" s="1"/>
      <c r="G56" s="1"/>
    </row>
    <row r="57" spans="1:7" ht="16.5" thickBot="1" x14ac:dyDescent="0.3">
      <c r="A57" s="36" t="s">
        <v>95</v>
      </c>
      <c r="B57" s="119">
        <f>664.8*1.1194*1.01</f>
        <v>751.61889120000001</v>
      </c>
      <c r="C57" s="21">
        <v>0</v>
      </c>
      <c r="D57" s="18">
        <f>2300/1.18</f>
        <v>1949.1525423728815</v>
      </c>
      <c r="E57" s="1"/>
      <c r="F57" s="1"/>
      <c r="G57" s="1"/>
    </row>
    <row r="58" spans="1:7" ht="16.5" hidden="1" thickBot="1" x14ac:dyDescent="0.3">
      <c r="A58" s="36" t="s">
        <v>150</v>
      </c>
      <c r="B58" s="119"/>
      <c r="C58" s="19">
        <v>0</v>
      </c>
      <c r="D58" s="18">
        <v>0</v>
      </c>
      <c r="E58" s="1"/>
      <c r="F58" s="1"/>
      <c r="G58" s="1">
        <v>212.65</v>
      </c>
    </row>
    <row r="59" spans="1:7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  <c r="F59" s="1"/>
      <c r="G59" s="1">
        <v>12166.85</v>
      </c>
    </row>
    <row r="60" spans="1:7" ht="16.5" hidden="1" thickBot="1" x14ac:dyDescent="0.3">
      <c r="A60" s="32" t="s">
        <v>57</v>
      </c>
      <c r="B60" s="119">
        <v>0</v>
      </c>
      <c r="C60" s="15"/>
      <c r="D60" s="18"/>
      <c r="E60" s="1"/>
      <c r="F60" s="1"/>
      <c r="G60" s="1"/>
    </row>
    <row r="61" spans="1:7" ht="16.5" hidden="1" thickBot="1" x14ac:dyDescent="0.3">
      <c r="A61" s="32" t="s">
        <v>58</v>
      </c>
      <c r="B61" s="119">
        <v>0</v>
      </c>
      <c r="C61" s="21"/>
      <c r="D61" s="18">
        <v>0</v>
      </c>
      <c r="E61" s="1"/>
      <c r="F61" s="1"/>
      <c r="G61" s="1"/>
    </row>
    <row r="62" spans="1:7" ht="16.5" hidden="1" thickBot="1" x14ac:dyDescent="0.3">
      <c r="A62" s="32" t="s">
        <v>94</v>
      </c>
      <c r="B62" s="119">
        <v>0</v>
      </c>
      <c r="C62" s="21"/>
      <c r="D62" s="18">
        <v>0</v>
      </c>
      <c r="E62" s="1"/>
      <c r="F62" s="1"/>
      <c r="G62" s="1"/>
    </row>
    <row r="63" spans="1:7" ht="16.5" hidden="1" thickBot="1" x14ac:dyDescent="0.3">
      <c r="A63" s="32" t="s">
        <v>60</v>
      </c>
      <c r="B63" s="122">
        <v>0</v>
      </c>
      <c r="C63" s="39">
        <v>1</v>
      </c>
      <c r="D63" s="18">
        <v>0</v>
      </c>
      <c r="E63" s="1"/>
      <c r="F63" s="1"/>
      <c r="G63" s="1"/>
    </row>
    <row r="64" spans="1:7" ht="16.5" hidden="1" thickBot="1" x14ac:dyDescent="0.3">
      <c r="A64" s="32" t="s">
        <v>61</v>
      </c>
      <c r="B64" s="38">
        <v>0</v>
      </c>
      <c r="C64" s="40">
        <v>30</v>
      </c>
      <c r="D64" s="21">
        <v>2</v>
      </c>
      <c r="E64" s="1">
        <v>1</v>
      </c>
      <c r="F64" s="1"/>
      <c r="G64" s="1"/>
    </row>
    <row r="65" spans="1:4" s="4" customFormat="1" ht="16.5" hidden="1" thickBot="1" x14ac:dyDescent="0.3">
      <c r="A65" s="32" t="s">
        <v>134</v>
      </c>
      <c r="B65" s="122"/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79441.116567388963</v>
      </c>
      <c r="C66" s="14"/>
      <c r="D66" s="19"/>
    </row>
    <row r="67" spans="1:4" ht="16.5" hidden="1" thickBot="1" x14ac:dyDescent="0.3">
      <c r="A67" s="32" t="s">
        <v>64</v>
      </c>
      <c r="B67" s="119">
        <v>0</v>
      </c>
      <c r="C67" s="25"/>
      <c r="D67" s="34"/>
    </row>
    <row r="68" spans="1:4" ht="16.5" thickBot="1" x14ac:dyDescent="0.3">
      <c r="A68" s="32" t="s">
        <v>65</v>
      </c>
      <c r="B68" s="17">
        <f>34620.96*1.1194*1.01</f>
        <v>39142.249650239995</v>
      </c>
      <c r="C68" s="14"/>
      <c r="D68" s="19"/>
    </row>
    <row r="69" spans="1:4" ht="16.5" hidden="1" thickBot="1" x14ac:dyDescent="0.3">
      <c r="A69" s="32" t="s">
        <v>66</v>
      </c>
      <c r="B69" s="119">
        <v>0</v>
      </c>
      <c r="C69" s="25"/>
      <c r="D69" s="34"/>
    </row>
    <row r="70" spans="1:4" ht="16.5" hidden="1" thickBot="1" x14ac:dyDescent="0.3">
      <c r="A70" s="35" t="s">
        <v>67</v>
      </c>
      <c r="B70" s="119">
        <v>0</v>
      </c>
      <c r="C70" s="19"/>
      <c r="D70" s="34"/>
    </row>
    <row r="71" spans="1:4" ht="15.75" x14ac:dyDescent="0.25">
      <c r="A71" s="35" t="s">
        <v>68</v>
      </c>
      <c r="B71" s="17">
        <f>5.1*B15</f>
        <v>6527.49</v>
      </c>
      <c r="C71" s="43"/>
      <c r="D71" s="19"/>
    </row>
    <row r="72" spans="1:4" ht="15.75" x14ac:dyDescent="0.25">
      <c r="A72" s="35" t="s">
        <v>69</v>
      </c>
      <c r="B72" s="17">
        <f>17.7*B15</f>
        <v>22654.23</v>
      </c>
      <c r="C72" s="34"/>
      <c r="D72" s="19"/>
    </row>
    <row r="73" spans="1:4" ht="15.75" x14ac:dyDescent="0.25">
      <c r="A73" s="44" t="s">
        <v>70</v>
      </c>
      <c r="B73" s="17">
        <f>'[1]34тарифы'!D186*B15*1.1194*1.01</f>
        <v>1317.2351093838176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(('[1]34тарифы'!D167*B15)+('[1]34тарифы'!D187*B15))*1.1194*1.01</f>
        <v>9799.9118077651474</v>
      </c>
      <c r="C74" s="34"/>
      <c r="D74" s="19"/>
    </row>
    <row r="75" spans="1:4" ht="63" x14ac:dyDescent="0.25">
      <c r="A75" s="45" t="s">
        <v>72</v>
      </c>
      <c r="B75" s="29">
        <f>SUM(B76:B76)</f>
        <v>43970.018333779648</v>
      </c>
      <c r="C75" s="34"/>
      <c r="D75" s="19"/>
    </row>
    <row r="76" spans="1:4" ht="15.75" x14ac:dyDescent="0.25">
      <c r="A76" s="35" t="s">
        <v>73</v>
      </c>
      <c r="B76" s="17">
        <f>'[1]34ОЭР'!D35*1.1194*1.01</f>
        <v>43970.018333779648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5870.5704845935597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3199.2</v>
      </c>
      <c r="C80" s="43"/>
      <c r="D80" s="19"/>
    </row>
    <row r="81" spans="1:4" ht="15.75" x14ac:dyDescent="0.25">
      <c r="A81" s="48" t="s">
        <v>78</v>
      </c>
      <c r="B81" s="17">
        <f>'[1]34тарифы'!D173*B13*1.1194*0.95</f>
        <v>2671.3704845935604</v>
      </c>
      <c r="C81" s="34"/>
      <c r="D81" s="19"/>
    </row>
    <row r="82" spans="1:4" ht="15.75" x14ac:dyDescent="0.25">
      <c r="A82" s="49" t="s">
        <v>79</v>
      </c>
      <c r="B82" s="24">
        <f>B32+B42+B46+B66+B75+B77</f>
        <v>226204.04390517666</v>
      </c>
      <c r="C82" s="34"/>
      <c r="D82" s="19"/>
    </row>
    <row r="83" spans="1:4" ht="15.75" x14ac:dyDescent="0.25">
      <c r="A83" s="50" t="s">
        <v>80</v>
      </c>
      <c r="B83" s="17">
        <f>B82*0.03</f>
        <v>6786.1213171552999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232990.16522233197</v>
      </c>
      <c r="C84" s="34"/>
      <c r="D84" s="19"/>
    </row>
    <row r="85" spans="1:4" ht="16.5" thickBot="1" x14ac:dyDescent="0.3">
      <c r="A85" s="52" t="s">
        <v>82</v>
      </c>
      <c r="B85" s="53">
        <f>B84*0.2</f>
        <v>46598.0330444664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279588.1982667984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-297974.35826679837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124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151</v>
      </c>
      <c r="B92" s="193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01000000}">
    <filterColumn colId="1">
      <filters>
        <filter val="1 317,24"/>
        <filter val="10 300,00"/>
        <filter val="11 456,70"/>
        <filter val="114,43"/>
        <filter val="19 275,84"/>
        <filter val="2 216,87"/>
        <filter val="2 671,37"/>
        <filter val="2 734,79"/>
        <filter val="22 654,23"/>
        <filter val="226 204,04"/>
        <filter val="232 990,17"/>
        <filter val="24 000,00"/>
        <filter val="279 588,20"/>
        <filter val="-297 974,36"/>
        <filter val="3 199,20"/>
        <filter val="37 528,79"/>
        <filter val="39 142,25"/>
        <filter val="40 117,71"/>
        <filter val="43 970,02"/>
        <filter val="46 598,03"/>
        <filter val="5 870,57"/>
        <filter val="6 527,49"/>
        <filter val="6 786,12"/>
        <filter val="7 819,14"/>
        <filter val="751,62"/>
        <filter val="79 441,12"/>
        <filter val="9 799,9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>
    <pageSetUpPr fitToPage="1"/>
  </sheetPr>
  <dimension ref="A1:G95"/>
  <sheetViews>
    <sheetView view="pageBreakPreview" topLeftCell="A9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127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-257210.29893115888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672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5.75" x14ac:dyDescent="0.25">
      <c r="A15" s="16" t="s">
        <v>14</v>
      </c>
      <c r="B15" s="17">
        <f>B13+B14</f>
        <v>672</v>
      </c>
      <c r="C15" s="20"/>
      <c r="D15" s="21"/>
    </row>
    <row r="16" spans="1:4" ht="16.5" thickBot="1" x14ac:dyDescent="0.3">
      <c r="A16" s="16" t="s">
        <v>15</v>
      </c>
      <c r="B16" s="17">
        <f>549.3+2840.1/3</f>
        <v>1496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226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249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35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205171.08</v>
      </c>
      <c r="C24" s="18"/>
      <c r="D24" s="21"/>
      <c r="E24" s="67">
        <v>22.539999924</v>
      </c>
      <c r="F24" s="68">
        <v>25.2312759149256</v>
      </c>
      <c r="G24" s="1"/>
    </row>
    <row r="25" spans="1:7" ht="16.5" thickBot="1" x14ac:dyDescent="0.3">
      <c r="A25" s="23">
        <v>0</v>
      </c>
      <c r="B25" s="24">
        <f>VLOOKUP(A5,Лист11!K:M,3,FALSE)</f>
        <v>193739.56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3950.88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96890.37000000001</v>
      </c>
      <c r="C32" s="18"/>
      <c r="D32" s="21"/>
      <c r="E32" s="30">
        <f>(B86-B26-B24)/1.2/1.03</f>
        <v>74387.56347213572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35000</v>
      </c>
      <c r="C33" s="22"/>
      <c r="D33" s="21">
        <v>15736.19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x14ac:dyDescent="0.25">
      <c r="A36" s="32" t="s">
        <v>32</v>
      </c>
      <c r="B36" s="17">
        <v>52243.38</v>
      </c>
      <c r="C36" s="21" t="s">
        <v>11</v>
      </c>
      <c r="D36" s="18">
        <v>0</v>
      </c>
      <c r="E36" s="1"/>
      <c r="F36" s="1"/>
      <c r="G36" s="1"/>
    </row>
    <row r="37" spans="1:7" ht="16.5" thickBot="1" x14ac:dyDescent="0.3">
      <c r="A37" s="32" t="s">
        <v>33</v>
      </c>
      <c r="B37" s="17">
        <v>9646.99</v>
      </c>
      <c r="C37" s="21"/>
      <c r="D37" s="18">
        <v>0</v>
      </c>
      <c r="E37" s="1"/>
      <c r="F37" s="1"/>
      <c r="G37" s="1"/>
    </row>
    <row r="38" spans="1:7" ht="16.5" hidden="1" thickBot="1" x14ac:dyDescent="0.3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33</v>
      </c>
      <c r="B41" s="17"/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12580.741360899687</v>
      </c>
      <c r="C42" s="14"/>
      <c r="D42" s="21"/>
      <c r="E42" s="30"/>
      <c r="F42" s="30"/>
      <c r="G42" s="30"/>
    </row>
    <row r="43" spans="1:7" ht="15.75" x14ac:dyDescent="0.25">
      <c r="A43" s="32" t="s">
        <v>38</v>
      </c>
      <c r="B43" s="17">
        <v>4896.16</v>
      </c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3236.66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('[1]34тарифы'!D163*B15+62.82)*1.1194*1.0952</f>
        <v>4447.9213608996861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16529.973647999999</v>
      </c>
      <c r="C46" s="14"/>
      <c r="D46" s="21"/>
    </row>
    <row r="47" spans="1:7" ht="15.75" hidden="1" x14ac:dyDescent="0.25">
      <c r="A47" s="32" t="s">
        <v>128</v>
      </c>
      <c r="B47" s="17"/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1516.74*1.0952</f>
        <v>1661.133648</v>
      </c>
      <c r="C48" s="21"/>
      <c r="D48" s="18"/>
      <c r="E48" s="1" t="s">
        <v>45</v>
      </c>
      <c r="F48" s="1"/>
      <c r="G48" s="1"/>
    </row>
    <row r="49" spans="1:5" ht="15.75" x14ac:dyDescent="0.25">
      <c r="A49" s="36" t="s">
        <v>46</v>
      </c>
      <c r="B49" s="17">
        <v>119.78</v>
      </c>
      <c r="C49" s="21"/>
      <c r="D49" s="18"/>
      <c r="E49" s="1"/>
    </row>
    <row r="50" spans="1:5" ht="15.75" hidden="1" x14ac:dyDescent="0.25">
      <c r="A50" s="36" t="s">
        <v>47</v>
      </c>
      <c r="B50" s="17">
        <v>0</v>
      </c>
      <c r="C50" s="21"/>
      <c r="D50" s="18">
        <v>4190</v>
      </c>
      <c r="E50" s="1"/>
    </row>
    <row r="51" spans="1:5" ht="15.75" hidden="1" x14ac:dyDescent="0.25">
      <c r="A51" s="36" t="s">
        <v>93</v>
      </c>
      <c r="B51" s="17">
        <v>0</v>
      </c>
      <c r="C51" s="21"/>
      <c r="D51" s="18"/>
      <c r="E51" s="1"/>
    </row>
    <row r="52" spans="1:5" ht="15.75" hidden="1" x14ac:dyDescent="0.25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5.75" hidden="1" x14ac:dyDescent="0.25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5.75" x14ac:dyDescent="0.25">
      <c r="A54" s="36" t="s">
        <v>51</v>
      </c>
      <c r="B54" s="17">
        <v>10300</v>
      </c>
      <c r="C54" s="21">
        <v>0</v>
      </c>
      <c r="D54" s="37">
        <v>695.13</v>
      </c>
      <c r="E54" s="1"/>
    </row>
    <row r="55" spans="1:5" ht="15.75" hidden="1" x14ac:dyDescent="0.25">
      <c r="A55" s="36" t="s">
        <v>52</v>
      </c>
      <c r="B55" s="17">
        <v>0</v>
      </c>
      <c r="C55" s="21"/>
      <c r="D55" s="37"/>
      <c r="E55" s="1"/>
    </row>
    <row r="56" spans="1:5" ht="15.75" hidden="1" x14ac:dyDescent="0.25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thickBot="1" x14ac:dyDescent="0.3">
      <c r="A57" s="32" t="s">
        <v>61</v>
      </c>
      <c r="B57" s="17">
        <v>4449.0600000000004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95</v>
      </c>
      <c r="B58" s="17"/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hidden="1" thickBot="1" x14ac:dyDescent="0.3">
      <c r="A64" s="32" t="s">
        <v>61</v>
      </c>
      <c r="B64" s="38">
        <v>0</v>
      </c>
      <c r="C64" s="40">
        <v>14</v>
      </c>
      <c r="D64" s="21">
        <v>2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86294.901704719523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52728.96*1.1194*1.0952</f>
        <v>64643.958576844787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3427.2</v>
      </c>
      <c r="C71" s="43"/>
      <c r="D71" s="19"/>
    </row>
    <row r="72" spans="1:4" ht="15.75" x14ac:dyDescent="0.25">
      <c r="A72" s="35" t="s">
        <v>69</v>
      </c>
      <c r="B72" s="17">
        <f>17.7*B15</f>
        <v>11894.4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749.94358260328909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5579.399545271458</v>
      </c>
      <c r="C74" s="34"/>
      <c r="D74" s="19"/>
    </row>
    <row r="75" spans="1:4" ht="63" x14ac:dyDescent="0.25">
      <c r="A75" s="45" t="s">
        <v>72</v>
      </c>
      <c r="B75" s="29">
        <f>SUM(B76:B76)</f>
        <v>25033.521230535858</v>
      </c>
      <c r="C75" s="34"/>
      <c r="D75" s="19"/>
    </row>
    <row r="76" spans="1:4" ht="15.75" x14ac:dyDescent="0.25">
      <c r="A76" s="35" t="s">
        <v>73</v>
      </c>
      <c r="B76" s="17">
        <f>'[1]34ОЭР'!D179*1.1194*1.0952</f>
        <v>25033.521230535858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3054.0749454563402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1444.8</v>
      </c>
      <c r="C80" s="43"/>
      <c r="D80" s="19"/>
    </row>
    <row r="81" spans="1:4" ht="15.75" x14ac:dyDescent="0.25">
      <c r="A81" s="48" t="s">
        <v>78</v>
      </c>
      <c r="B81" s="17">
        <f>'[1]34тарифы'!D173*B13*1.1194*1.09</f>
        <v>1609.2749454563404</v>
      </c>
      <c r="C81" s="34"/>
      <c r="D81" s="19"/>
    </row>
    <row r="82" spans="1:4" ht="15.75" x14ac:dyDescent="0.25">
      <c r="A82" s="49" t="s">
        <v>79</v>
      </c>
      <c r="B82" s="24">
        <f>B32+B42+B46+B66+B75+B77</f>
        <v>240383.58288961143</v>
      </c>
      <c r="C82" s="34"/>
      <c r="D82" s="19"/>
    </row>
    <row r="83" spans="1:4" ht="15.75" x14ac:dyDescent="0.25">
      <c r="A83" s="50" t="s">
        <v>80</v>
      </c>
      <c r="B83" s="17">
        <f>B82*0.03</f>
        <v>7211.5074866883424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247595.09037629978</v>
      </c>
      <c r="C84" s="34"/>
      <c r="D84" s="19"/>
    </row>
    <row r="85" spans="1:4" ht="16.5" thickBot="1" x14ac:dyDescent="0.3">
      <c r="A85" s="52" t="s">
        <v>82</v>
      </c>
      <c r="B85" s="53">
        <f>B84*0.2</f>
        <v>49519.018075259955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297114.10845155973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-345202.44738271862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3000000}">
    <filterColumn colId="1">
      <filters>
        <filter val="1 444,80"/>
        <filter val="1 609,27"/>
        <filter val="1 661,13"/>
        <filter val="10 300,00"/>
        <filter val="11 894,40"/>
        <filter val="119,78"/>
        <filter val="12 580,74"/>
        <filter val="16 529,97"/>
        <filter val="240 383,58"/>
        <filter val="247 595,09"/>
        <filter val="25 033,52"/>
        <filter val="297 114,11"/>
        <filter val="3 054,07"/>
        <filter val="3 236,66"/>
        <filter val="3 427,20"/>
        <filter val="-345 202,45"/>
        <filter val="35 000,00"/>
        <filter val="4 447,92"/>
        <filter val="4 449,06"/>
        <filter val="4 896,16"/>
        <filter val="49 519,02"/>
        <filter val="5 579,40"/>
        <filter val="52 243,38"/>
        <filter val="64 643,96"/>
        <filter val="7 211,51"/>
        <filter val="749,94"/>
        <filter val="86 294,90"/>
        <filter val="9 646,99"/>
        <filter val="96 890,3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>
    <pageSetUpPr fitToPage="1"/>
  </sheetPr>
  <dimension ref="A1:G95"/>
  <sheetViews>
    <sheetView view="pageBreakPreview" topLeftCell="A28" zoomScale="80" zoomScaleNormal="100" zoomScaleSheetLayoutView="80" workbookViewId="0">
      <selection activeCell="A24" sqref="A24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125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131430.15796542508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658.5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5.75" x14ac:dyDescent="0.25">
      <c r="A15" s="16" t="s">
        <v>14</v>
      </c>
      <c r="B15" s="17">
        <f>B13+B14</f>
        <v>658.5</v>
      </c>
      <c r="C15" s="20"/>
      <c r="D15" s="21"/>
    </row>
    <row r="16" spans="1:4" ht="16.5" thickBot="1" x14ac:dyDescent="0.3">
      <c r="A16" s="16" t="s">
        <v>15</v>
      </c>
      <c r="B16" s="17">
        <f>121.2+229.2/3</f>
        <v>197.6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229.2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252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21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163597.44</v>
      </c>
      <c r="C24" s="18"/>
      <c r="D24" s="21"/>
      <c r="E24" s="67">
        <v>18.269999968499999</v>
      </c>
      <c r="F24" s="68">
        <v>20.451437964738897</v>
      </c>
      <c r="G24" s="1"/>
    </row>
    <row r="25" spans="1:7" ht="16.5" thickBot="1" x14ac:dyDescent="0.3">
      <c r="A25" s="23">
        <v>0</v>
      </c>
      <c r="B25" s="24">
        <f>VLOOKUP(A5,Лист11!K:M,3,FALSE)</f>
        <v>154158.16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7154.31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60926.44</v>
      </c>
      <c r="C32" s="18"/>
      <c r="D32" s="21"/>
      <c r="E32" s="30">
        <f>(B86-B26-B24)/1.2/1.03</f>
        <v>19881.766935176147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25000</v>
      </c>
      <c r="C33" s="22"/>
      <c r="D33" s="21">
        <v>18360.099999999999</v>
      </c>
      <c r="E33" s="1"/>
      <c r="F33" s="1"/>
      <c r="G33" s="1"/>
    </row>
    <row r="34" spans="1:7" ht="15.75" hidden="1" x14ac:dyDescent="0.25">
      <c r="A34" s="32" t="s">
        <v>126</v>
      </c>
      <c r="B34" s="17">
        <v>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x14ac:dyDescent="0.25">
      <c r="A36" s="32" t="s">
        <v>32</v>
      </c>
      <c r="B36" s="17">
        <v>887.37</v>
      </c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thickBot="1" x14ac:dyDescent="0.3">
      <c r="A38" s="32" t="s">
        <v>155</v>
      </c>
      <c r="B38" s="17">
        <v>35039.07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26620.86647245699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22187.22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('[1]34тарифы'!D163*B15+122.8)*1.1194*1.0952</f>
        <v>4433.6464724569905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6415.2737796031997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1535.64*1.1194*1.0952</f>
        <v>1882.6437796031998</v>
      </c>
      <c r="C48" s="21"/>
      <c r="D48" s="18"/>
      <c r="E48" s="1" t="s">
        <v>45</v>
      </c>
      <c r="F48" s="1"/>
      <c r="G48" s="1"/>
    </row>
    <row r="49" spans="1:5" ht="15.75" hidden="1" x14ac:dyDescent="0.25">
      <c r="A49" s="36" t="s">
        <v>96</v>
      </c>
      <c r="B49" s="117"/>
      <c r="C49" s="21"/>
      <c r="D49" s="18"/>
      <c r="E49" s="1"/>
    </row>
    <row r="50" spans="1:5" ht="15.75" hidden="1" x14ac:dyDescent="0.25">
      <c r="A50" s="36" t="s">
        <v>95</v>
      </c>
      <c r="B50" s="117"/>
      <c r="C50" s="21"/>
      <c r="D50" s="18">
        <v>4190</v>
      </c>
      <c r="E50" s="1"/>
    </row>
    <row r="51" spans="1:5" ht="16.5" thickBot="1" x14ac:dyDescent="0.3">
      <c r="A51" s="36" t="s">
        <v>103</v>
      </c>
      <c r="B51" s="117">
        <v>83.57</v>
      </c>
      <c r="C51" s="21"/>
      <c r="D51" s="18"/>
      <c r="E51" s="1"/>
    </row>
    <row r="52" spans="1:5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thickBot="1" x14ac:dyDescent="0.3">
      <c r="A64" s="32" t="s">
        <v>61</v>
      </c>
      <c r="B64" s="38">
        <v>4449.0600000000004</v>
      </c>
      <c r="C64" s="40">
        <v>14</v>
      </c>
      <c r="D64" s="21">
        <v>2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30842.952739688179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7014.96*1.1194*1.1194*1.0952</f>
        <v>9626.9615942930595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3358.35</v>
      </c>
      <c r="C71" s="43"/>
      <c r="D71" s="19"/>
    </row>
    <row r="72" spans="1:4" ht="15.75" x14ac:dyDescent="0.25">
      <c r="A72" s="35" t="s">
        <v>69</v>
      </c>
      <c r="B72" s="17">
        <f>17.7*B15</f>
        <v>11655.449999999999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734.87775170277666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5467.3133936923441</v>
      </c>
      <c r="C74" s="34"/>
      <c r="D74" s="19"/>
    </row>
    <row r="75" spans="1:4" ht="63" x14ac:dyDescent="0.25">
      <c r="A75" s="45" t="s">
        <v>72</v>
      </c>
      <c r="B75" s="29">
        <f>SUM(B76:B76)</f>
        <v>24530.615670100986</v>
      </c>
      <c r="C75" s="34"/>
      <c r="D75" s="19"/>
    </row>
    <row r="76" spans="1:4" ht="15.75" x14ac:dyDescent="0.25">
      <c r="A76" s="35" t="s">
        <v>73</v>
      </c>
      <c r="B76" s="17">
        <f>'[1]34ОЭР'!D184*1.1194*1.0952</f>
        <v>24530.615670100986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2906.0066228413471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1444.8</v>
      </c>
      <c r="C80" s="43"/>
      <c r="D80" s="19"/>
    </row>
    <row r="81" spans="1:4" ht="15.75" x14ac:dyDescent="0.25">
      <c r="A81" s="48" t="s">
        <v>78</v>
      </c>
      <c r="B81" s="17">
        <f>'[1]34тарифы'!D173*B13*1.1194*1.01</f>
        <v>1461.2066228413473</v>
      </c>
      <c r="C81" s="34"/>
      <c r="D81" s="19"/>
    </row>
    <row r="82" spans="1:4" ht="15.75" x14ac:dyDescent="0.25">
      <c r="A82" s="49" t="s">
        <v>79</v>
      </c>
      <c r="B82" s="24">
        <f>B32+B42+B46+B66+B75+B77</f>
        <v>152242.1552846907</v>
      </c>
      <c r="C82" s="34"/>
      <c r="D82" s="19"/>
    </row>
    <row r="83" spans="1:4" ht="15.75" x14ac:dyDescent="0.25">
      <c r="A83" s="50" t="s">
        <v>80</v>
      </c>
      <c r="B83" s="17">
        <f>B82*0.03</f>
        <v>4567.264658540721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156809.41994323142</v>
      </c>
      <c r="C84" s="34"/>
      <c r="D84" s="19"/>
    </row>
    <row r="85" spans="1:4" ht="16.5" thickBot="1" x14ac:dyDescent="0.3">
      <c r="A85" s="52" t="s">
        <v>82</v>
      </c>
      <c r="B85" s="53">
        <f>B84*0.2</f>
        <v>31361.883988646285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188171.30393187772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114010.6040335474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4000000}">
    <filterColumn colId="1">
      <filters>
        <filter val="1 444,80"/>
        <filter val="1 461,21"/>
        <filter val="1 882,64"/>
        <filter val="11 655,45"/>
        <filter val="114 010,60"/>
        <filter val="152 242,16"/>
        <filter val="156 809,42"/>
        <filter val="188 171,30"/>
        <filter val="2 906,01"/>
        <filter val="22 187,22"/>
        <filter val="24 530,62"/>
        <filter val="25 000,00"/>
        <filter val="26 620,87"/>
        <filter val="3 358,35"/>
        <filter val="30 842,95"/>
        <filter val="31 361,88"/>
        <filter val="35 039,07"/>
        <filter val="4 433,65"/>
        <filter val="4 449,06"/>
        <filter val="4 567,26"/>
        <filter val="5 467,31"/>
        <filter val="6 415,27"/>
        <filter val="60 926,44"/>
        <filter val="734,88"/>
        <filter val="83,57"/>
        <filter val="887,37"/>
        <filter val="9 626,9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B74" sqref="B74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123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-76436.163903904875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1757.4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1757.4</v>
      </c>
      <c r="C15" s="20"/>
      <c r="D15" s="21"/>
    </row>
    <row r="16" spans="1:4" ht="16.5" hidden="1" thickBot="1" x14ac:dyDescent="0.3">
      <c r="A16" s="16" t="s">
        <v>15</v>
      </c>
      <c r="B16" s="17">
        <f>501.7+1590.9/3</f>
        <v>1032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576.79999999999995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634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78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268144.09999999998</v>
      </c>
      <c r="C24" s="18"/>
      <c r="D24" s="21"/>
      <c r="E24" s="67">
        <v>11.220000025499999</v>
      </c>
      <c r="F24" s="68">
        <v>12.559668028544699</v>
      </c>
      <c r="G24" s="1"/>
    </row>
    <row r="25" spans="1:7" ht="16.5" thickBot="1" x14ac:dyDescent="0.3">
      <c r="A25" s="23">
        <v>0</v>
      </c>
      <c r="B25" s="24">
        <f>VLOOKUP(A5,Лист11!K:M,3,FALSE)</f>
        <v>255462.64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7154.31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35879.178600752704</v>
      </c>
      <c r="C32" s="18"/>
      <c r="D32" s="21"/>
      <c r="E32" s="30">
        <f>(B86-B26-B24)/1.2/1.03</f>
        <v>22213.801472488125</v>
      </c>
      <c r="F32" s="30" t="e">
        <f>(#REF!-#REF!-#REF!)/1.2/1.03</f>
        <v>#REF!</v>
      </c>
      <c r="G32" s="30" t="e">
        <f>(#REF!-#REF!-#REF!)/1.2/1.03</f>
        <v>#REF!</v>
      </c>
    </row>
    <row r="33" spans="1:7" ht="16.5" hidden="1" thickBot="1" x14ac:dyDescent="0.3">
      <c r="A33" s="32" t="s">
        <v>29</v>
      </c>
      <c r="B33" s="17"/>
      <c r="C33" s="22"/>
      <c r="D33" s="21">
        <v>12504.41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>
        <v>0</v>
      </c>
      <c r="C35" s="21"/>
      <c r="D35" s="18">
        <v>0</v>
      </c>
      <c r="E35" s="1"/>
      <c r="F35" s="1"/>
      <c r="G35" s="1"/>
    </row>
    <row r="36" spans="1:7" ht="16.5" thickBot="1" x14ac:dyDescent="0.3">
      <c r="A36" s="32" t="s">
        <v>32</v>
      </c>
      <c r="B36" s="17">
        <v>35879.178600752704</v>
      </c>
      <c r="C36" s="21" t="s">
        <v>11</v>
      </c>
      <c r="D36" s="18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hidden="1" thickBot="1" x14ac:dyDescent="0.3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124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36875.088253740149</v>
      </c>
      <c r="C42" s="14"/>
      <c r="D42" s="21"/>
      <c r="E42" s="30"/>
      <c r="F42" s="30"/>
      <c r="G42" s="30"/>
    </row>
    <row r="43" spans="1:7" ht="15.75" x14ac:dyDescent="0.25">
      <c r="A43" s="32" t="s">
        <v>38</v>
      </c>
      <c r="B43" s="17">
        <v>1349.9134003449904</v>
      </c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24846.507998902314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('[1]34тарифы'!D163*B15+215.81)*1.1194</f>
        <v>10678.666854492845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7197.5732960000005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3945.84*1.1194</f>
        <v>4416.9732960000001</v>
      </c>
      <c r="C48" s="21"/>
      <c r="D48" s="18"/>
      <c r="E48" s="1" t="s">
        <v>45</v>
      </c>
      <c r="F48" s="1"/>
      <c r="G48" s="1"/>
    </row>
    <row r="49" spans="1:5" ht="15.75" x14ac:dyDescent="0.25">
      <c r="A49" s="36" t="s">
        <v>96</v>
      </c>
      <c r="B49" s="38">
        <v>1960.8</v>
      </c>
      <c r="C49" s="21"/>
      <c r="D49" s="18"/>
      <c r="E49" s="1"/>
    </row>
    <row r="50" spans="1:5" ht="15.75" x14ac:dyDescent="0.25">
      <c r="A50" s="36" t="s">
        <v>95</v>
      </c>
      <c r="B50" s="117">
        <v>664.8</v>
      </c>
      <c r="C50" s="21"/>
      <c r="D50" s="18">
        <v>4190</v>
      </c>
      <c r="E50" s="1"/>
    </row>
    <row r="51" spans="1:5" ht="16.5" thickBot="1" x14ac:dyDescent="0.3">
      <c r="A51" s="36" t="s">
        <v>46</v>
      </c>
      <c r="B51" s="117">
        <v>155</v>
      </c>
      <c r="C51" s="21"/>
      <c r="D51" s="18"/>
      <c r="E51" s="1"/>
    </row>
    <row r="52" spans="1:5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hidden="1" thickBot="1" x14ac:dyDescent="0.3">
      <c r="A64" s="32" t="s">
        <v>61</v>
      </c>
      <c r="B64" s="38">
        <v>0</v>
      </c>
      <c r="C64" s="40">
        <v>30</v>
      </c>
      <c r="D64" s="21">
        <v>2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92473.565229364904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36501.24*1.1194</f>
        <v>40859.488055999995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VLOOKUP(A71,[3]Лист1!S$1:T$65536,2,FALSE)*B15</f>
        <v>8127.8077555603841</v>
      </c>
      <c r="C71" s="43"/>
      <c r="D71" s="19"/>
    </row>
    <row r="72" spans="1:4" ht="15.75" x14ac:dyDescent="0.25">
      <c r="A72" s="35" t="s">
        <v>69</v>
      </c>
      <c r="B72" s="17">
        <f>VLOOKUP(A72,[3]Лист1!S$1:T$65536,2,FALSE)*B15</f>
        <v>28372.717081028848</v>
      </c>
      <c r="C72" s="34"/>
      <c r="D72" s="19"/>
    </row>
    <row r="73" spans="1:4" ht="15.75" x14ac:dyDescent="0.25">
      <c r="A73" s="44" t="s">
        <v>70</v>
      </c>
      <c r="B73" s="17">
        <f>'[1]34тарифы'!D186*B15*1.1194</f>
        <v>1790.7563796607878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</f>
        <v>13322.795957114895</v>
      </c>
      <c r="C74" s="34"/>
      <c r="D74" s="19"/>
    </row>
    <row r="75" spans="1:4" ht="63" x14ac:dyDescent="0.25">
      <c r="A75" s="45" t="s">
        <v>72</v>
      </c>
      <c r="B75" s="29">
        <f>SUM(B76:B76)</f>
        <v>59776.413704802399</v>
      </c>
      <c r="C75" s="34"/>
      <c r="D75" s="19"/>
    </row>
    <row r="76" spans="1:4" ht="15.75" x14ac:dyDescent="0.25">
      <c r="A76" s="35" t="s">
        <v>73</v>
      </c>
      <c r="B76" s="17">
        <f>'[1]34ОЭР'!D199*1.1194</f>
        <v>59776.413704802399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6957.0471127470682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3096</v>
      </c>
      <c r="C80" s="43"/>
      <c r="D80" s="19"/>
    </row>
    <row r="81" spans="1:4" ht="15.75" x14ac:dyDescent="0.25">
      <c r="A81" s="48" t="s">
        <v>78</v>
      </c>
      <c r="B81" s="17">
        <f>'[1]34тарифы'!D173*B13*1.1194</f>
        <v>3861.0471127470682</v>
      </c>
      <c r="C81" s="34"/>
      <c r="D81" s="19"/>
    </row>
    <row r="82" spans="1:4" ht="15.75" x14ac:dyDescent="0.25">
      <c r="A82" s="49" t="s">
        <v>79</v>
      </c>
      <c r="B82" s="24">
        <f>B32+B42+B46+B66+B75+B77</f>
        <v>239158.86619740722</v>
      </c>
      <c r="C82" s="34"/>
      <c r="D82" s="19"/>
    </row>
    <row r="83" spans="1:4" ht="15.75" x14ac:dyDescent="0.25">
      <c r="A83" s="50" t="s">
        <v>80</v>
      </c>
      <c r="B83" s="17">
        <f>B82*0.03</f>
        <v>7174.7659859222158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246333.63218332944</v>
      </c>
      <c r="C84" s="34"/>
      <c r="D84" s="19"/>
    </row>
    <row r="85" spans="1:4" ht="16.5" thickBot="1" x14ac:dyDescent="0.3">
      <c r="A85" s="52" t="s">
        <v>82</v>
      </c>
      <c r="B85" s="53">
        <f>B84*0.2</f>
        <v>49266.726436665893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295600.3586199953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-96738.112523900199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415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5000000}">
    <filterColumn colId="1">
      <filters>
        <filter val="1 349,91"/>
        <filter val="1 790,76"/>
        <filter val="1 960,80"/>
        <filter val="10 678,67"/>
        <filter val="13 322,80"/>
        <filter val="155,00"/>
        <filter val="239 158,87"/>
        <filter val="24 846,51"/>
        <filter val="246 333,63"/>
        <filter val="28 372,72"/>
        <filter val="295 600,36"/>
        <filter val="3 096,00"/>
        <filter val="3 861,05"/>
        <filter val="35 879,18"/>
        <filter val="36 875,09"/>
        <filter val="4 416,97"/>
        <filter val="40 859,49"/>
        <filter val="49 266,73"/>
        <filter val="59 776,41"/>
        <filter val="6 957,05"/>
        <filter val="664,80"/>
        <filter val="7 174,77"/>
        <filter val="7 197,57"/>
        <filter val="8 127,81"/>
        <filter val="92 473,57"/>
        <filter val="-96 738,11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C25" sqref="C2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121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-371439.80430284579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410.8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5.75" x14ac:dyDescent="0.25">
      <c r="A15" s="16" t="s">
        <v>14</v>
      </c>
      <c r="B15" s="17">
        <f>B13+B14</f>
        <v>410.8</v>
      </c>
      <c r="C15" s="20"/>
      <c r="D15" s="21"/>
    </row>
    <row r="16" spans="1:4" ht="16.5" thickBot="1" x14ac:dyDescent="0.3">
      <c r="A16" s="16" t="s">
        <v>15</v>
      </c>
      <c r="B16" s="17">
        <f>1607.8+1050.6/3</f>
        <v>1958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438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17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99126.56</v>
      </c>
      <c r="C24" s="18"/>
      <c r="D24" s="21"/>
      <c r="E24" s="67">
        <v>17.6899999185</v>
      </c>
      <c r="F24" s="68">
        <v>19.802185908768898</v>
      </c>
      <c r="G24" s="1"/>
    </row>
    <row r="25" spans="1:7" ht="16.5" thickBot="1" x14ac:dyDescent="0.3">
      <c r="A25" s="23">
        <v>0</v>
      </c>
      <c r="B25" s="24">
        <f>VLOOKUP(A5,Лист11!K:M,3,FALSE)</f>
        <v>121367.74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3950.88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81150.489999999991</v>
      </c>
      <c r="C32" s="18"/>
      <c r="D32" s="21"/>
      <c r="E32" s="30">
        <f>(B86-B26-B24)/1.2/1.03</f>
        <v>155307.7439613246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12000</v>
      </c>
      <c r="C33" s="22"/>
      <c r="D33" s="21">
        <v>8306.7900000000009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x14ac:dyDescent="0.25">
      <c r="A36" s="32" t="s">
        <v>32</v>
      </c>
      <c r="B36" s="17">
        <v>34111.42</v>
      </c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/>
      <c r="C37" s="21"/>
      <c r="D37" s="18">
        <v>0</v>
      </c>
      <c r="E37" s="1"/>
      <c r="F37" s="1"/>
      <c r="G37" s="1"/>
    </row>
    <row r="38" spans="1:7" ht="16.5" thickBot="1" x14ac:dyDescent="0.3">
      <c r="A38" s="32" t="s">
        <v>155</v>
      </c>
      <c r="B38" s="17">
        <v>35039.07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36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56907.258563448333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54168.05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('[1]34тарифы'!D163*B15+54.84)*1.1194*1.0952</f>
        <v>2739.2085634483278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28148.177178441601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245.82*1.1194*1.0952</f>
        <v>301.3671784416</v>
      </c>
      <c r="C48" s="21"/>
      <c r="D48" s="18"/>
      <c r="E48" s="1" t="s">
        <v>45</v>
      </c>
      <c r="F48" s="1"/>
      <c r="G48" s="1"/>
    </row>
    <row r="49" spans="1:4" ht="16.5" thickBot="1" x14ac:dyDescent="0.3">
      <c r="A49" s="36" t="s">
        <v>103</v>
      </c>
      <c r="B49" s="17">
        <v>27198.57</v>
      </c>
      <c r="C49" s="21"/>
      <c r="D49" s="18"/>
    </row>
    <row r="50" spans="1:4" ht="16.5" hidden="1" thickBot="1" x14ac:dyDescent="0.3">
      <c r="A50" s="36" t="s">
        <v>47</v>
      </c>
      <c r="B50" s="17">
        <v>0</v>
      </c>
      <c r="C50" s="21"/>
      <c r="D50" s="18">
        <v>4190</v>
      </c>
    </row>
    <row r="51" spans="1:4" ht="16.5" hidden="1" thickBot="1" x14ac:dyDescent="0.3">
      <c r="A51" s="36" t="s">
        <v>93</v>
      </c>
      <c r="B51" s="17">
        <v>0</v>
      </c>
      <c r="C51" s="21"/>
      <c r="D51" s="18"/>
    </row>
    <row r="52" spans="1:4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</row>
    <row r="53" spans="1:4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</row>
    <row r="54" spans="1:4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</row>
    <row r="55" spans="1:4" ht="16.5" hidden="1" thickBot="1" x14ac:dyDescent="0.3">
      <c r="A55" s="36" t="s">
        <v>52</v>
      </c>
      <c r="B55" s="17">
        <v>0</v>
      </c>
      <c r="C55" s="21"/>
      <c r="D55" s="37"/>
    </row>
    <row r="56" spans="1:4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</row>
    <row r="57" spans="1:4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</row>
    <row r="58" spans="1:4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</row>
    <row r="59" spans="1:4" ht="16.5" hidden="1" thickBot="1" x14ac:dyDescent="0.3">
      <c r="A59" s="36" t="s">
        <v>56</v>
      </c>
      <c r="B59" s="17">
        <f>B13*'[1]34тарифы'!D184</f>
        <v>0</v>
      </c>
      <c r="C59" s="14"/>
      <c r="D59" s="21"/>
    </row>
    <row r="60" spans="1:4" ht="16.5" hidden="1" thickBot="1" x14ac:dyDescent="0.3">
      <c r="A60" s="32" t="s">
        <v>57</v>
      </c>
      <c r="B60" s="17">
        <v>0</v>
      </c>
      <c r="C60" s="15"/>
      <c r="D60" s="18"/>
    </row>
    <row r="61" spans="1:4" ht="16.5" hidden="1" thickBot="1" x14ac:dyDescent="0.3">
      <c r="A61" s="32" t="s">
        <v>58</v>
      </c>
      <c r="B61" s="17">
        <v>0</v>
      </c>
      <c r="C61" s="21"/>
      <c r="D61" s="18">
        <v>0</v>
      </c>
    </row>
    <row r="62" spans="1:4" ht="16.5" hidden="1" thickBot="1" x14ac:dyDescent="0.3">
      <c r="A62" s="32" t="s">
        <v>94</v>
      </c>
      <c r="B62" s="17">
        <v>0</v>
      </c>
      <c r="C62" s="21"/>
      <c r="D62" s="18">
        <v>0</v>
      </c>
    </row>
    <row r="63" spans="1:4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</row>
    <row r="64" spans="1:4" ht="16.5" thickBot="1" x14ac:dyDescent="0.3">
      <c r="A64" s="32" t="s">
        <v>122</v>
      </c>
      <c r="B64" s="38">
        <v>648.24</v>
      </c>
      <c r="C64" s="40">
        <v>8</v>
      </c>
      <c r="D64" s="2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51792.772650980995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31450.56*1.1194*1.0952</f>
        <v>38557.3449174528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2095.08</v>
      </c>
      <c r="C71" s="43"/>
      <c r="D71" s="19"/>
    </row>
    <row r="72" spans="1:4" ht="15.75" x14ac:dyDescent="0.25">
      <c r="A72" s="35" t="s">
        <v>69</v>
      </c>
      <c r="B72" s="17">
        <f>17.7*B15</f>
        <v>7271.16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458.44765436522499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3410.7400791629684</v>
      </c>
      <c r="C74" s="34"/>
      <c r="D74" s="19"/>
    </row>
    <row r="75" spans="1:4" ht="63" x14ac:dyDescent="0.25">
      <c r="A75" s="45" t="s">
        <v>72</v>
      </c>
      <c r="B75" s="29">
        <f>SUM(B76:B76)</f>
        <v>15303.229942714481</v>
      </c>
      <c r="C75" s="34"/>
      <c r="D75" s="19"/>
    </row>
    <row r="76" spans="1:4" ht="15.75" x14ac:dyDescent="0.25">
      <c r="A76" s="35" t="s">
        <v>73</v>
      </c>
      <c r="B76" s="17">
        <f>'[1]34ОЭР'!D200*1.1194*1.0952</f>
        <v>15303.229942714481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2205.2978263863915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1032</v>
      </c>
      <c r="C80" s="43"/>
      <c r="D80" s="19"/>
    </row>
    <row r="81" spans="1:4" ht="15.75" x14ac:dyDescent="0.25">
      <c r="A81" s="48" t="s">
        <v>78</v>
      </c>
      <c r="B81" s="17">
        <f>'[1]34тарифы'!D173*B13*1.1194*1.3</f>
        <v>1173.2978263863913</v>
      </c>
      <c r="C81" s="34"/>
      <c r="D81" s="19"/>
    </row>
    <row r="82" spans="1:4" ht="15.75" x14ac:dyDescent="0.25">
      <c r="A82" s="49" t="s">
        <v>79</v>
      </c>
      <c r="B82" s="24">
        <f>B32+B42+B46+B66+B75+B77</f>
        <v>235507.2261619718</v>
      </c>
      <c r="C82" s="34"/>
      <c r="D82" s="19"/>
    </row>
    <row r="83" spans="1:4" ht="15.75" x14ac:dyDescent="0.25">
      <c r="A83" s="50" t="s">
        <v>80</v>
      </c>
      <c r="B83" s="17">
        <f>B82*0.03</f>
        <v>7065.2167848591534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242572.44294683097</v>
      </c>
      <c r="C84" s="34"/>
      <c r="D84" s="19"/>
    </row>
    <row r="85" spans="1:4" ht="16.5" thickBot="1" x14ac:dyDescent="0.3">
      <c r="A85" s="52" t="s">
        <v>82</v>
      </c>
      <c r="B85" s="53">
        <f>B84*0.2</f>
        <v>48514.488589366199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291086.9315361972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-559449.29583904298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6000000}">
    <filterColumn colId="1">
      <filters>
        <filter val="1 032,00"/>
        <filter val="1 173,30"/>
        <filter val="12 000,00"/>
        <filter val="15 303,23"/>
        <filter val="2 095,08"/>
        <filter val="2 205,30"/>
        <filter val="2 739,21"/>
        <filter val="235 507,23"/>
        <filter val="242 572,44"/>
        <filter val="27 198,57"/>
        <filter val="28 148,18"/>
        <filter val="291 086,93"/>
        <filter val="3 410,74"/>
        <filter val="301,37"/>
        <filter val="34 111,42"/>
        <filter val="35 039,07"/>
        <filter val="38 557,34"/>
        <filter val="458,45"/>
        <filter val="48 514,49"/>
        <filter val="51 792,77"/>
        <filter val="54 168,05"/>
        <filter val="-559 449,30"/>
        <filter val="56 907,26"/>
        <filter val="648,24"/>
        <filter val="7 065,22"/>
        <filter val="7 271,16"/>
        <filter val="81 150,4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185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-909108.84959764499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558.9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84.1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643</v>
      </c>
      <c r="C15" s="20"/>
      <c r="D15" s="21"/>
    </row>
    <row r="16" spans="1:4" ht="16.5" hidden="1" thickBot="1" x14ac:dyDescent="0.3">
      <c r="A16" s="16" t="s">
        <v>15</v>
      </c>
      <c r="B16" s="17">
        <f>1426+1001.4/3</f>
        <v>1759.8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579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36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/>
      <c r="F23" s="1"/>
      <c r="G23" s="1"/>
    </row>
    <row r="24" spans="1:7" ht="15.75" x14ac:dyDescent="0.25">
      <c r="A24" s="23" t="s">
        <v>22</v>
      </c>
      <c r="B24" s="24">
        <f>VLOOKUP(A5,Лист11!K:M,2,FALSE)</f>
        <v>150869.38</v>
      </c>
      <c r="C24" s="18"/>
      <c r="D24" s="21"/>
      <c r="E24" s="67">
        <v>19.849999981500002</v>
      </c>
      <c r="F24" s="68">
        <v>22.2200899792911</v>
      </c>
      <c r="G24" s="1"/>
    </row>
    <row r="25" spans="1:7" ht="16.5" thickBot="1" x14ac:dyDescent="0.3">
      <c r="A25" s="23">
        <v>0</v>
      </c>
      <c r="B25" s="24">
        <f>VLOOKUP(A5,Лист11!K:M,3,FALSE)</f>
        <v>137132.6</v>
      </c>
      <c r="C25" s="22"/>
      <c r="D25" s="21"/>
      <c r="E25" s="1"/>
      <c r="F25" s="1"/>
      <c r="G25" s="1"/>
    </row>
    <row r="26" spans="1:7" ht="15.75" x14ac:dyDescent="0.25">
      <c r="A26" s="23" t="s">
        <v>23</v>
      </c>
      <c r="B26" s="24">
        <v>22911.97</v>
      </c>
      <c r="C26" s="15"/>
      <c r="D26" s="18"/>
      <c r="E26" s="1"/>
      <c r="F26" s="1"/>
      <c r="G26" s="1"/>
    </row>
    <row r="27" spans="1:7" ht="16.5" thickBot="1" x14ac:dyDescent="0.3">
      <c r="A27" s="23" t="s">
        <v>24</v>
      </c>
      <c r="B27" s="24">
        <v>16459.66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5781.36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28900.48</v>
      </c>
      <c r="C32" s="18"/>
      <c r="D32" s="21"/>
      <c r="E32" s="30">
        <f>(B84-B26-B24)/1.2/1.03</f>
        <v>-3046.7828241625284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15000</v>
      </c>
      <c r="C33" s="22"/>
      <c r="D33" s="21">
        <v>14094.97</v>
      </c>
      <c r="E33" s="1"/>
      <c r="F33" s="1"/>
      <c r="G33" s="1"/>
    </row>
    <row r="34" spans="1:7" ht="15.75" hidden="1" x14ac:dyDescent="0.25">
      <c r="A34" s="32" t="s">
        <v>30</v>
      </c>
      <c r="B34" s="17">
        <v>0</v>
      </c>
      <c r="C34" s="15"/>
      <c r="D34" s="18">
        <v>0</v>
      </c>
      <c r="E34" s="1"/>
      <c r="F34" s="1"/>
      <c r="G34" s="1"/>
    </row>
    <row r="35" spans="1:7" ht="16.5" thickBot="1" x14ac:dyDescent="0.3">
      <c r="A35" s="32" t="s">
        <v>31</v>
      </c>
      <c r="B35" s="17">
        <v>13900.48</v>
      </c>
      <c r="C35" s="21"/>
      <c r="D35" s="18">
        <v>0</v>
      </c>
      <c r="E35" s="1"/>
      <c r="F35" s="1"/>
      <c r="G35" s="1"/>
    </row>
    <row r="36" spans="1:7" ht="16.5" hidden="1" thickBot="1" x14ac:dyDescent="0.3">
      <c r="A36" s="32" t="s">
        <v>32</v>
      </c>
      <c r="B36" s="17">
        <v>0</v>
      </c>
      <c r="C36" s="21" t="s">
        <v>11</v>
      </c>
      <c r="D36" s="18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hidden="1" thickBot="1" x14ac:dyDescent="0.3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32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33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186</v>
      </c>
      <c r="B42" s="29">
        <f>SUM(B43:B45)</f>
        <v>4334.16574527997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hidden="1" x14ac:dyDescent="0.25">
      <c r="A44" s="32" t="s">
        <v>39</v>
      </c>
      <c r="B44" s="17"/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('[1]34тарифы'!D163*B15+123.89)*1.1194*1.0952</f>
        <v>4334.16574527997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4744.8174540896007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225.42*1.1194*1.0952</f>
        <v>276.35745408959997</v>
      </c>
      <c r="C48" s="21"/>
      <c r="D48" s="18"/>
      <c r="E48" s="1" t="s">
        <v>45</v>
      </c>
      <c r="F48" s="1"/>
      <c r="G48" s="1"/>
    </row>
    <row r="49" spans="1:5" ht="15.75" x14ac:dyDescent="0.25">
      <c r="A49" s="36" t="s">
        <v>103</v>
      </c>
      <c r="B49" s="175">
        <v>19.399999999999999</v>
      </c>
      <c r="C49" s="21"/>
      <c r="D49" s="18"/>
      <c r="E49" s="1"/>
    </row>
    <row r="50" spans="1:5" ht="15.75" hidden="1" x14ac:dyDescent="0.25">
      <c r="A50" s="36" t="s">
        <v>187</v>
      </c>
      <c r="B50" s="17">
        <v>0</v>
      </c>
      <c r="C50" s="21"/>
      <c r="D50" s="18">
        <v>4190</v>
      </c>
      <c r="E50" s="1"/>
    </row>
    <row r="51" spans="1:5" ht="15.75" hidden="1" x14ac:dyDescent="0.25">
      <c r="A51" s="36" t="s">
        <v>95</v>
      </c>
      <c r="B51" s="17"/>
      <c r="C51" s="21"/>
      <c r="D51" s="18"/>
      <c r="E51" s="1"/>
    </row>
    <row r="52" spans="1:5" ht="15.75" hidden="1" x14ac:dyDescent="0.25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5.75" hidden="1" x14ac:dyDescent="0.25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5.75" hidden="1" x14ac:dyDescent="0.25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5.75" hidden="1" x14ac:dyDescent="0.25">
      <c r="A55" s="36" t="s">
        <v>52</v>
      </c>
      <c r="B55" s="17">
        <v>0</v>
      </c>
      <c r="C55" s="21"/>
      <c r="D55" s="37"/>
      <c r="E55" s="1"/>
    </row>
    <row r="56" spans="1:5" ht="15.75" hidden="1" x14ac:dyDescent="0.25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5.75" hidden="1" x14ac:dyDescent="0.25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thickBot="1" x14ac:dyDescent="0.3">
      <c r="A58" s="36" t="s">
        <v>419</v>
      </c>
      <c r="B58" s="17">
        <v>4449.0600000000004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hidden="1" thickBot="1" x14ac:dyDescent="0.3">
      <c r="A64" s="32" t="s">
        <v>61</v>
      </c>
      <c r="B64" s="38">
        <v>0</v>
      </c>
      <c r="C64" s="40">
        <v>14</v>
      </c>
      <c r="D64" s="21">
        <v>1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ht="16.5" thickBot="1" x14ac:dyDescent="0.3">
      <c r="A66" s="42" t="s">
        <v>63</v>
      </c>
      <c r="B66" s="29">
        <f>SUM(B67:B74)</f>
        <v>97746.258604286573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62831.76*1.1194*1.0952</f>
        <v>77029.656772108792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3279.2999999999997</v>
      </c>
      <c r="C71" s="43"/>
      <c r="D71" s="19"/>
    </row>
    <row r="72" spans="1:4" ht="15.75" x14ac:dyDescent="0.25">
      <c r="A72" s="35" t="s">
        <v>69</v>
      </c>
      <c r="B72" s="17">
        <f>17.7*B15</f>
        <v>11381.1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717.57994585404015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5338.6218863237318</v>
      </c>
      <c r="C74" s="34"/>
      <c r="D74" s="19"/>
    </row>
    <row r="75" spans="1:4" ht="63" x14ac:dyDescent="0.25">
      <c r="A75" s="45" t="s">
        <v>72</v>
      </c>
      <c r="B75" s="29">
        <f>SUM(B76:B76)</f>
        <v>20820.290202003704</v>
      </c>
      <c r="C75" s="34"/>
      <c r="D75" s="19"/>
    </row>
    <row r="76" spans="1:4" s="4" customFormat="1" ht="15.75" x14ac:dyDescent="0.25">
      <c r="A76" s="35" t="s">
        <v>73</v>
      </c>
      <c r="B76" s="17">
        <f>'[1]34ОЭР'!D223*1.1194*1.0952</f>
        <v>20820.290202003704</v>
      </c>
      <c r="C76" s="34"/>
      <c r="D76" s="19"/>
    </row>
    <row r="77" spans="1:4" s="4" customFormat="1" ht="31.5" x14ac:dyDescent="0.25">
      <c r="A77" s="42" t="s">
        <v>74</v>
      </c>
      <c r="B77" s="29">
        <f>SUM(B78:B81)</f>
        <v>8517.6058868985219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thickBot="1" x14ac:dyDescent="0.3">
      <c r="A79" s="47" t="s">
        <v>76</v>
      </c>
      <c r="B79" s="17">
        <f>(B26/1.2)*30%</f>
        <v>5727.9925000000003</v>
      </c>
      <c r="C79" s="25"/>
      <c r="D79" s="34"/>
    </row>
    <row r="80" spans="1:4" ht="15.75" x14ac:dyDescent="0.25">
      <c r="A80" s="48" t="s">
        <v>77</v>
      </c>
      <c r="B80" s="17">
        <v>1444.8</v>
      </c>
      <c r="C80" s="43"/>
      <c r="D80" s="19"/>
    </row>
    <row r="81" spans="1:4" ht="15.75" x14ac:dyDescent="0.25">
      <c r="A81" s="48" t="s">
        <v>78</v>
      </c>
      <c r="B81" s="17">
        <f>'[1]34тарифы'!D173*B13*1.1194*1.0952</f>
        <v>1344.813386898521</v>
      </c>
      <c r="C81" s="34"/>
      <c r="D81" s="19"/>
    </row>
    <row r="82" spans="1:4" ht="15.75" x14ac:dyDescent="0.25">
      <c r="A82" s="49" t="s">
        <v>79</v>
      </c>
      <c r="B82" s="24">
        <f>B32+B42+B46+B66+B75+B77</f>
        <v>165063.61789255837</v>
      </c>
      <c r="C82" s="34"/>
      <c r="D82" s="19"/>
    </row>
    <row r="83" spans="1:4" s="31" customFormat="1" ht="15.75" x14ac:dyDescent="0.25">
      <c r="A83" s="50" t="s">
        <v>80</v>
      </c>
      <c r="B83" s="17">
        <f>B82*0.03</f>
        <v>4951.9085367767511</v>
      </c>
      <c r="C83" s="34"/>
      <c r="D83" s="19"/>
    </row>
    <row r="84" spans="1:4" ht="15.75" x14ac:dyDescent="0.25">
      <c r="A84" s="51" t="s">
        <v>81</v>
      </c>
      <c r="B84" s="29">
        <f>B82+B83</f>
        <v>170015.52642933512</v>
      </c>
      <c r="C84" s="34"/>
      <c r="D84" s="19"/>
    </row>
    <row r="85" spans="1:4" s="4" customFormat="1" ht="16.5" thickBot="1" x14ac:dyDescent="0.3">
      <c r="A85" s="52" t="s">
        <v>82</v>
      </c>
      <c r="B85" s="53">
        <f>B84*0.2</f>
        <v>34003.105285867023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204018.63171520215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-933564.77131284715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ht="16.5" customHeight="1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7000000}">
    <filterColumn colId="1">
      <filters>
        <filter val="1 344,81"/>
        <filter val="1 444,80"/>
        <filter val="11 381,10"/>
        <filter val="13 900,48"/>
        <filter val="15 000,00"/>
        <filter val="165 063,62"/>
        <filter val="170 015,53"/>
        <filter val="19,40"/>
        <filter val="20 820,29"/>
        <filter val="204 018,63"/>
        <filter val="276,36"/>
        <filter val="28 900,48"/>
        <filter val="3 279,30"/>
        <filter val="34 003,11"/>
        <filter val="4 334,17"/>
        <filter val="4 449,06"/>
        <filter val="4 744,82"/>
        <filter val="4 951,91"/>
        <filter val="5 338,62"/>
        <filter val="5 727,99"/>
        <filter val="717,58"/>
        <filter val="77 029,66"/>
        <filter val="8 517,61"/>
        <filter val="-933 564,77"/>
        <filter val="97 746,26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filterMode="1">
    <pageSetUpPr fitToPage="1"/>
  </sheetPr>
  <dimension ref="A1:G94"/>
  <sheetViews>
    <sheetView view="pageBreakPreview" topLeftCell="A30" zoomScale="80" zoomScaleNormal="100" zoomScaleSheetLayoutView="80" workbookViewId="0">
      <selection activeCell="C65" sqref="C65"/>
    </sheetView>
  </sheetViews>
  <sheetFormatPr defaultRowHeight="15.75" x14ac:dyDescent="0.25"/>
  <cols>
    <col min="1" max="1" width="89.5703125" style="65" customWidth="1"/>
    <col min="2" max="2" width="15" style="65" customWidth="1"/>
    <col min="3" max="4" width="13.85546875" style="65" customWidth="1"/>
    <col min="5" max="5" width="14.140625" style="65" customWidth="1"/>
    <col min="6" max="6" width="11.140625" style="65" customWidth="1"/>
    <col min="7" max="7" width="12.42578125" style="65" bestFit="1" customWidth="1"/>
    <col min="8" max="256" width="9.140625" style="65"/>
    <col min="257" max="257" width="91.5703125" style="65" customWidth="1"/>
    <col min="258" max="258" width="15" style="65" customWidth="1"/>
    <col min="259" max="260" width="13.85546875" style="65" customWidth="1"/>
    <col min="261" max="261" width="14.140625" style="65" customWidth="1"/>
    <col min="262" max="262" width="11.140625" style="65" customWidth="1"/>
    <col min="263" max="263" width="12.42578125" style="65" bestFit="1" customWidth="1"/>
    <col min="264" max="512" width="9.140625" style="65"/>
    <col min="513" max="513" width="91.5703125" style="65" customWidth="1"/>
    <col min="514" max="514" width="15" style="65" customWidth="1"/>
    <col min="515" max="516" width="13.85546875" style="65" customWidth="1"/>
    <col min="517" max="517" width="14.140625" style="65" customWidth="1"/>
    <col min="518" max="518" width="11.140625" style="65" customWidth="1"/>
    <col min="519" max="519" width="12.42578125" style="65" bestFit="1" customWidth="1"/>
    <col min="520" max="768" width="9.140625" style="65"/>
    <col min="769" max="769" width="91.5703125" style="65" customWidth="1"/>
    <col min="770" max="770" width="15" style="65" customWidth="1"/>
    <col min="771" max="772" width="13.85546875" style="65" customWidth="1"/>
    <col min="773" max="773" width="14.140625" style="65" customWidth="1"/>
    <col min="774" max="774" width="11.140625" style="65" customWidth="1"/>
    <col min="775" max="775" width="12.42578125" style="65" bestFit="1" customWidth="1"/>
    <col min="776" max="1024" width="9.140625" style="65"/>
    <col min="1025" max="1025" width="91.5703125" style="65" customWidth="1"/>
    <col min="1026" max="1026" width="15" style="65" customWidth="1"/>
    <col min="1027" max="1028" width="13.85546875" style="65" customWidth="1"/>
    <col min="1029" max="1029" width="14.140625" style="65" customWidth="1"/>
    <col min="1030" max="1030" width="11.140625" style="65" customWidth="1"/>
    <col min="1031" max="1031" width="12.42578125" style="65" bestFit="1" customWidth="1"/>
    <col min="1032" max="1280" width="9.140625" style="65"/>
    <col min="1281" max="1281" width="91.5703125" style="65" customWidth="1"/>
    <col min="1282" max="1282" width="15" style="65" customWidth="1"/>
    <col min="1283" max="1284" width="13.85546875" style="65" customWidth="1"/>
    <col min="1285" max="1285" width="14.140625" style="65" customWidth="1"/>
    <col min="1286" max="1286" width="11.140625" style="65" customWidth="1"/>
    <col min="1287" max="1287" width="12.42578125" style="65" bestFit="1" customWidth="1"/>
    <col min="1288" max="1536" width="9.140625" style="65"/>
    <col min="1537" max="1537" width="91.5703125" style="65" customWidth="1"/>
    <col min="1538" max="1538" width="15" style="65" customWidth="1"/>
    <col min="1539" max="1540" width="13.85546875" style="65" customWidth="1"/>
    <col min="1541" max="1541" width="14.140625" style="65" customWidth="1"/>
    <col min="1542" max="1542" width="11.140625" style="65" customWidth="1"/>
    <col min="1543" max="1543" width="12.42578125" style="65" bestFit="1" customWidth="1"/>
    <col min="1544" max="1792" width="9.140625" style="65"/>
    <col min="1793" max="1793" width="91.5703125" style="65" customWidth="1"/>
    <col min="1794" max="1794" width="15" style="65" customWidth="1"/>
    <col min="1795" max="1796" width="13.85546875" style="65" customWidth="1"/>
    <col min="1797" max="1797" width="14.140625" style="65" customWidth="1"/>
    <col min="1798" max="1798" width="11.140625" style="65" customWidth="1"/>
    <col min="1799" max="1799" width="12.42578125" style="65" bestFit="1" customWidth="1"/>
    <col min="1800" max="2048" width="9.140625" style="65"/>
    <col min="2049" max="2049" width="91.5703125" style="65" customWidth="1"/>
    <col min="2050" max="2050" width="15" style="65" customWidth="1"/>
    <col min="2051" max="2052" width="13.85546875" style="65" customWidth="1"/>
    <col min="2053" max="2053" width="14.140625" style="65" customWidth="1"/>
    <col min="2054" max="2054" width="11.140625" style="65" customWidth="1"/>
    <col min="2055" max="2055" width="12.42578125" style="65" bestFit="1" customWidth="1"/>
    <col min="2056" max="2304" width="9.140625" style="65"/>
    <col min="2305" max="2305" width="91.5703125" style="65" customWidth="1"/>
    <col min="2306" max="2306" width="15" style="65" customWidth="1"/>
    <col min="2307" max="2308" width="13.85546875" style="65" customWidth="1"/>
    <col min="2309" max="2309" width="14.140625" style="65" customWidth="1"/>
    <col min="2310" max="2310" width="11.140625" style="65" customWidth="1"/>
    <col min="2311" max="2311" width="12.42578125" style="65" bestFit="1" customWidth="1"/>
    <col min="2312" max="2560" width="9.140625" style="65"/>
    <col min="2561" max="2561" width="91.5703125" style="65" customWidth="1"/>
    <col min="2562" max="2562" width="15" style="65" customWidth="1"/>
    <col min="2563" max="2564" width="13.85546875" style="65" customWidth="1"/>
    <col min="2565" max="2565" width="14.140625" style="65" customWidth="1"/>
    <col min="2566" max="2566" width="11.140625" style="65" customWidth="1"/>
    <col min="2567" max="2567" width="12.42578125" style="65" bestFit="1" customWidth="1"/>
    <col min="2568" max="2816" width="9.140625" style="65"/>
    <col min="2817" max="2817" width="91.5703125" style="65" customWidth="1"/>
    <col min="2818" max="2818" width="15" style="65" customWidth="1"/>
    <col min="2819" max="2820" width="13.85546875" style="65" customWidth="1"/>
    <col min="2821" max="2821" width="14.140625" style="65" customWidth="1"/>
    <col min="2822" max="2822" width="11.140625" style="65" customWidth="1"/>
    <col min="2823" max="2823" width="12.42578125" style="65" bestFit="1" customWidth="1"/>
    <col min="2824" max="3072" width="9.140625" style="65"/>
    <col min="3073" max="3073" width="91.5703125" style="65" customWidth="1"/>
    <col min="3074" max="3074" width="15" style="65" customWidth="1"/>
    <col min="3075" max="3076" width="13.85546875" style="65" customWidth="1"/>
    <col min="3077" max="3077" width="14.140625" style="65" customWidth="1"/>
    <col min="3078" max="3078" width="11.140625" style="65" customWidth="1"/>
    <col min="3079" max="3079" width="12.42578125" style="65" bestFit="1" customWidth="1"/>
    <col min="3080" max="3328" width="9.140625" style="65"/>
    <col min="3329" max="3329" width="91.5703125" style="65" customWidth="1"/>
    <col min="3330" max="3330" width="15" style="65" customWidth="1"/>
    <col min="3331" max="3332" width="13.85546875" style="65" customWidth="1"/>
    <col min="3333" max="3333" width="14.140625" style="65" customWidth="1"/>
    <col min="3334" max="3334" width="11.140625" style="65" customWidth="1"/>
    <col min="3335" max="3335" width="12.42578125" style="65" bestFit="1" customWidth="1"/>
    <col min="3336" max="3584" width="9.140625" style="65"/>
    <col min="3585" max="3585" width="91.5703125" style="65" customWidth="1"/>
    <col min="3586" max="3586" width="15" style="65" customWidth="1"/>
    <col min="3587" max="3588" width="13.85546875" style="65" customWidth="1"/>
    <col min="3589" max="3589" width="14.140625" style="65" customWidth="1"/>
    <col min="3590" max="3590" width="11.140625" style="65" customWidth="1"/>
    <col min="3591" max="3591" width="12.42578125" style="65" bestFit="1" customWidth="1"/>
    <col min="3592" max="3840" width="9.140625" style="65"/>
    <col min="3841" max="3841" width="91.5703125" style="65" customWidth="1"/>
    <col min="3842" max="3842" width="15" style="65" customWidth="1"/>
    <col min="3843" max="3844" width="13.85546875" style="65" customWidth="1"/>
    <col min="3845" max="3845" width="14.140625" style="65" customWidth="1"/>
    <col min="3846" max="3846" width="11.140625" style="65" customWidth="1"/>
    <col min="3847" max="3847" width="12.42578125" style="65" bestFit="1" customWidth="1"/>
    <col min="3848" max="4096" width="9.140625" style="65"/>
    <col min="4097" max="4097" width="91.5703125" style="65" customWidth="1"/>
    <col min="4098" max="4098" width="15" style="65" customWidth="1"/>
    <col min="4099" max="4100" width="13.85546875" style="65" customWidth="1"/>
    <col min="4101" max="4101" width="14.140625" style="65" customWidth="1"/>
    <col min="4102" max="4102" width="11.140625" style="65" customWidth="1"/>
    <col min="4103" max="4103" width="12.42578125" style="65" bestFit="1" customWidth="1"/>
    <col min="4104" max="4352" width="9.140625" style="65"/>
    <col min="4353" max="4353" width="91.5703125" style="65" customWidth="1"/>
    <col min="4354" max="4354" width="15" style="65" customWidth="1"/>
    <col min="4355" max="4356" width="13.85546875" style="65" customWidth="1"/>
    <col min="4357" max="4357" width="14.140625" style="65" customWidth="1"/>
    <col min="4358" max="4358" width="11.140625" style="65" customWidth="1"/>
    <col min="4359" max="4359" width="12.42578125" style="65" bestFit="1" customWidth="1"/>
    <col min="4360" max="4608" width="9.140625" style="65"/>
    <col min="4609" max="4609" width="91.5703125" style="65" customWidth="1"/>
    <col min="4610" max="4610" width="15" style="65" customWidth="1"/>
    <col min="4611" max="4612" width="13.85546875" style="65" customWidth="1"/>
    <col min="4613" max="4613" width="14.140625" style="65" customWidth="1"/>
    <col min="4614" max="4614" width="11.140625" style="65" customWidth="1"/>
    <col min="4615" max="4615" width="12.42578125" style="65" bestFit="1" customWidth="1"/>
    <col min="4616" max="4864" width="9.140625" style="65"/>
    <col min="4865" max="4865" width="91.5703125" style="65" customWidth="1"/>
    <col min="4866" max="4866" width="15" style="65" customWidth="1"/>
    <col min="4867" max="4868" width="13.85546875" style="65" customWidth="1"/>
    <col min="4869" max="4869" width="14.140625" style="65" customWidth="1"/>
    <col min="4870" max="4870" width="11.140625" style="65" customWidth="1"/>
    <col min="4871" max="4871" width="12.42578125" style="65" bestFit="1" customWidth="1"/>
    <col min="4872" max="5120" width="9.140625" style="65"/>
    <col min="5121" max="5121" width="91.5703125" style="65" customWidth="1"/>
    <col min="5122" max="5122" width="15" style="65" customWidth="1"/>
    <col min="5123" max="5124" width="13.85546875" style="65" customWidth="1"/>
    <col min="5125" max="5125" width="14.140625" style="65" customWidth="1"/>
    <col min="5126" max="5126" width="11.140625" style="65" customWidth="1"/>
    <col min="5127" max="5127" width="12.42578125" style="65" bestFit="1" customWidth="1"/>
    <col min="5128" max="5376" width="9.140625" style="65"/>
    <col min="5377" max="5377" width="91.5703125" style="65" customWidth="1"/>
    <col min="5378" max="5378" width="15" style="65" customWidth="1"/>
    <col min="5379" max="5380" width="13.85546875" style="65" customWidth="1"/>
    <col min="5381" max="5381" width="14.140625" style="65" customWidth="1"/>
    <col min="5382" max="5382" width="11.140625" style="65" customWidth="1"/>
    <col min="5383" max="5383" width="12.42578125" style="65" bestFit="1" customWidth="1"/>
    <col min="5384" max="5632" width="9.140625" style="65"/>
    <col min="5633" max="5633" width="91.5703125" style="65" customWidth="1"/>
    <col min="5634" max="5634" width="15" style="65" customWidth="1"/>
    <col min="5635" max="5636" width="13.85546875" style="65" customWidth="1"/>
    <col min="5637" max="5637" width="14.140625" style="65" customWidth="1"/>
    <col min="5638" max="5638" width="11.140625" style="65" customWidth="1"/>
    <col min="5639" max="5639" width="12.42578125" style="65" bestFit="1" customWidth="1"/>
    <col min="5640" max="5888" width="9.140625" style="65"/>
    <col min="5889" max="5889" width="91.5703125" style="65" customWidth="1"/>
    <col min="5890" max="5890" width="15" style="65" customWidth="1"/>
    <col min="5891" max="5892" width="13.85546875" style="65" customWidth="1"/>
    <col min="5893" max="5893" width="14.140625" style="65" customWidth="1"/>
    <col min="5894" max="5894" width="11.140625" style="65" customWidth="1"/>
    <col min="5895" max="5895" width="12.42578125" style="65" bestFit="1" customWidth="1"/>
    <col min="5896" max="6144" width="9.140625" style="65"/>
    <col min="6145" max="6145" width="91.5703125" style="65" customWidth="1"/>
    <col min="6146" max="6146" width="15" style="65" customWidth="1"/>
    <col min="6147" max="6148" width="13.85546875" style="65" customWidth="1"/>
    <col min="6149" max="6149" width="14.140625" style="65" customWidth="1"/>
    <col min="6150" max="6150" width="11.140625" style="65" customWidth="1"/>
    <col min="6151" max="6151" width="12.42578125" style="65" bestFit="1" customWidth="1"/>
    <col min="6152" max="6400" width="9.140625" style="65"/>
    <col min="6401" max="6401" width="91.5703125" style="65" customWidth="1"/>
    <col min="6402" max="6402" width="15" style="65" customWidth="1"/>
    <col min="6403" max="6404" width="13.85546875" style="65" customWidth="1"/>
    <col min="6405" max="6405" width="14.140625" style="65" customWidth="1"/>
    <col min="6406" max="6406" width="11.140625" style="65" customWidth="1"/>
    <col min="6407" max="6407" width="12.42578125" style="65" bestFit="1" customWidth="1"/>
    <col min="6408" max="6656" width="9.140625" style="65"/>
    <col min="6657" max="6657" width="91.5703125" style="65" customWidth="1"/>
    <col min="6658" max="6658" width="15" style="65" customWidth="1"/>
    <col min="6659" max="6660" width="13.85546875" style="65" customWidth="1"/>
    <col min="6661" max="6661" width="14.140625" style="65" customWidth="1"/>
    <col min="6662" max="6662" width="11.140625" style="65" customWidth="1"/>
    <col min="6663" max="6663" width="12.42578125" style="65" bestFit="1" customWidth="1"/>
    <col min="6664" max="6912" width="9.140625" style="65"/>
    <col min="6913" max="6913" width="91.5703125" style="65" customWidth="1"/>
    <col min="6914" max="6914" width="15" style="65" customWidth="1"/>
    <col min="6915" max="6916" width="13.85546875" style="65" customWidth="1"/>
    <col min="6917" max="6917" width="14.140625" style="65" customWidth="1"/>
    <col min="6918" max="6918" width="11.140625" style="65" customWidth="1"/>
    <col min="6919" max="6919" width="12.42578125" style="65" bestFit="1" customWidth="1"/>
    <col min="6920" max="7168" width="9.140625" style="65"/>
    <col min="7169" max="7169" width="91.5703125" style="65" customWidth="1"/>
    <col min="7170" max="7170" width="15" style="65" customWidth="1"/>
    <col min="7171" max="7172" width="13.85546875" style="65" customWidth="1"/>
    <col min="7173" max="7173" width="14.140625" style="65" customWidth="1"/>
    <col min="7174" max="7174" width="11.140625" style="65" customWidth="1"/>
    <col min="7175" max="7175" width="12.42578125" style="65" bestFit="1" customWidth="1"/>
    <col min="7176" max="7424" width="9.140625" style="65"/>
    <col min="7425" max="7425" width="91.5703125" style="65" customWidth="1"/>
    <col min="7426" max="7426" width="15" style="65" customWidth="1"/>
    <col min="7427" max="7428" width="13.85546875" style="65" customWidth="1"/>
    <col min="7429" max="7429" width="14.140625" style="65" customWidth="1"/>
    <col min="7430" max="7430" width="11.140625" style="65" customWidth="1"/>
    <col min="7431" max="7431" width="12.42578125" style="65" bestFit="1" customWidth="1"/>
    <col min="7432" max="7680" width="9.140625" style="65"/>
    <col min="7681" max="7681" width="91.5703125" style="65" customWidth="1"/>
    <col min="7682" max="7682" width="15" style="65" customWidth="1"/>
    <col min="7683" max="7684" width="13.85546875" style="65" customWidth="1"/>
    <col min="7685" max="7685" width="14.140625" style="65" customWidth="1"/>
    <col min="7686" max="7686" width="11.140625" style="65" customWidth="1"/>
    <col min="7687" max="7687" width="12.42578125" style="65" bestFit="1" customWidth="1"/>
    <col min="7688" max="7936" width="9.140625" style="65"/>
    <col min="7937" max="7937" width="91.5703125" style="65" customWidth="1"/>
    <col min="7938" max="7938" width="15" style="65" customWidth="1"/>
    <col min="7939" max="7940" width="13.85546875" style="65" customWidth="1"/>
    <col min="7941" max="7941" width="14.140625" style="65" customWidth="1"/>
    <col min="7942" max="7942" width="11.140625" style="65" customWidth="1"/>
    <col min="7943" max="7943" width="12.42578125" style="65" bestFit="1" customWidth="1"/>
    <col min="7944" max="8192" width="9.140625" style="65"/>
    <col min="8193" max="8193" width="91.5703125" style="65" customWidth="1"/>
    <col min="8194" max="8194" width="15" style="65" customWidth="1"/>
    <col min="8195" max="8196" width="13.85546875" style="65" customWidth="1"/>
    <col min="8197" max="8197" width="14.140625" style="65" customWidth="1"/>
    <col min="8198" max="8198" width="11.140625" style="65" customWidth="1"/>
    <col min="8199" max="8199" width="12.42578125" style="65" bestFit="1" customWidth="1"/>
    <col min="8200" max="8448" width="9.140625" style="65"/>
    <col min="8449" max="8449" width="91.5703125" style="65" customWidth="1"/>
    <col min="8450" max="8450" width="15" style="65" customWidth="1"/>
    <col min="8451" max="8452" width="13.85546875" style="65" customWidth="1"/>
    <col min="8453" max="8453" width="14.140625" style="65" customWidth="1"/>
    <col min="8454" max="8454" width="11.140625" style="65" customWidth="1"/>
    <col min="8455" max="8455" width="12.42578125" style="65" bestFit="1" customWidth="1"/>
    <col min="8456" max="8704" width="9.140625" style="65"/>
    <col min="8705" max="8705" width="91.5703125" style="65" customWidth="1"/>
    <col min="8706" max="8706" width="15" style="65" customWidth="1"/>
    <col min="8707" max="8708" width="13.85546875" style="65" customWidth="1"/>
    <col min="8709" max="8709" width="14.140625" style="65" customWidth="1"/>
    <col min="8710" max="8710" width="11.140625" style="65" customWidth="1"/>
    <col min="8711" max="8711" width="12.42578125" style="65" bestFit="1" customWidth="1"/>
    <col min="8712" max="8960" width="9.140625" style="65"/>
    <col min="8961" max="8961" width="91.5703125" style="65" customWidth="1"/>
    <col min="8962" max="8962" width="15" style="65" customWidth="1"/>
    <col min="8963" max="8964" width="13.85546875" style="65" customWidth="1"/>
    <col min="8965" max="8965" width="14.140625" style="65" customWidth="1"/>
    <col min="8966" max="8966" width="11.140625" style="65" customWidth="1"/>
    <col min="8967" max="8967" width="12.42578125" style="65" bestFit="1" customWidth="1"/>
    <col min="8968" max="9216" width="9.140625" style="65"/>
    <col min="9217" max="9217" width="91.5703125" style="65" customWidth="1"/>
    <col min="9218" max="9218" width="15" style="65" customWidth="1"/>
    <col min="9219" max="9220" width="13.85546875" style="65" customWidth="1"/>
    <col min="9221" max="9221" width="14.140625" style="65" customWidth="1"/>
    <col min="9222" max="9222" width="11.140625" style="65" customWidth="1"/>
    <col min="9223" max="9223" width="12.42578125" style="65" bestFit="1" customWidth="1"/>
    <col min="9224" max="9472" width="9.140625" style="65"/>
    <col min="9473" max="9473" width="91.5703125" style="65" customWidth="1"/>
    <col min="9474" max="9474" width="15" style="65" customWidth="1"/>
    <col min="9475" max="9476" width="13.85546875" style="65" customWidth="1"/>
    <col min="9477" max="9477" width="14.140625" style="65" customWidth="1"/>
    <col min="9478" max="9478" width="11.140625" style="65" customWidth="1"/>
    <col min="9479" max="9479" width="12.42578125" style="65" bestFit="1" customWidth="1"/>
    <col min="9480" max="9728" width="9.140625" style="65"/>
    <col min="9729" max="9729" width="91.5703125" style="65" customWidth="1"/>
    <col min="9730" max="9730" width="15" style="65" customWidth="1"/>
    <col min="9731" max="9732" width="13.85546875" style="65" customWidth="1"/>
    <col min="9733" max="9733" width="14.140625" style="65" customWidth="1"/>
    <col min="9734" max="9734" width="11.140625" style="65" customWidth="1"/>
    <col min="9735" max="9735" width="12.42578125" style="65" bestFit="1" customWidth="1"/>
    <col min="9736" max="9984" width="9.140625" style="65"/>
    <col min="9985" max="9985" width="91.5703125" style="65" customWidth="1"/>
    <col min="9986" max="9986" width="15" style="65" customWidth="1"/>
    <col min="9987" max="9988" width="13.85546875" style="65" customWidth="1"/>
    <col min="9989" max="9989" width="14.140625" style="65" customWidth="1"/>
    <col min="9990" max="9990" width="11.140625" style="65" customWidth="1"/>
    <col min="9991" max="9991" width="12.42578125" style="65" bestFit="1" customWidth="1"/>
    <col min="9992" max="10240" width="9.140625" style="65"/>
    <col min="10241" max="10241" width="91.5703125" style="65" customWidth="1"/>
    <col min="10242" max="10242" width="15" style="65" customWidth="1"/>
    <col min="10243" max="10244" width="13.85546875" style="65" customWidth="1"/>
    <col min="10245" max="10245" width="14.140625" style="65" customWidth="1"/>
    <col min="10246" max="10246" width="11.140625" style="65" customWidth="1"/>
    <col min="10247" max="10247" width="12.42578125" style="65" bestFit="1" customWidth="1"/>
    <col min="10248" max="10496" width="9.140625" style="65"/>
    <col min="10497" max="10497" width="91.5703125" style="65" customWidth="1"/>
    <col min="10498" max="10498" width="15" style="65" customWidth="1"/>
    <col min="10499" max="10500" width="13.85546875" style="65" customWidth="1"/>
    <col min="10501" max="10501" width="14.140625" style="65" customWidth="1"/>
    <col min="10502" max="10502" width="11.140625" style="65" customWidth="1"/>
    <col min="10503" max="10503" width="12.42578125" style="65" bestFit="1" customWidth="1"/>
    <col min="10504" max="10752" width="9.140625" style="65"/>
    <col min="10753" max="10753" width="91.5703125" style="65" customWidth="1"/>
    <col min="10754" max="10754" width="15" style="65" customWidth="1"/>
    <col min="10755" max="10756" width="13.85546875" style="65" customWidth="1"/>
    <col min="10757" max="10757" width="14.140625" style="65" customWidth="1"/>
    <col min="10758" max="10758" width="11.140625" style="65" customWidth="1"/>
    <col min="10759" max="10759" width="12.42578125" style="65" bestFit="1" customWidth="1"/>
    <col min="10760" max="11008" width="9.140625" style="65"/>
    <col min="11009" max="11009" width="91.5703125" style="65" customWidth="1"/>
    <col min="11010" max="11010" width="15" style="65" customWidth="1"/>
    <col min="11011" max="11012" width="13.85546875" style="65" customWidth="1"/>
    <col min="11013" max="11013" width="14.140625" style="65" customWidth="1"/>
    <col min="11014" max="11014" width="11.140625" style="65" customWidth="1"/>
    <col min="11015" max="11015" width="12.42578125" style="65" bestFit="1" customWidth="1"/>
    <col min="11016" max="11264" width="9.140625" style="65"/>
    <col min="11265" max="11265" width="91.5703125" style="65" customWidth="1"/>
    <col min="11266" max="11266" width="15" style="65" customWidth="1"/>
    <col min="11267" max="11268" width="13.85546875" style="65" customWidth="1"/>
    <col min="11269" max="11269" width="14.140625" style="65" customWidth="1"/>
    <col min="11270" max="11270" width="11.140625" style="65" customWidth="1"/>
    <col min="11271" max="11271" width="12.42578125" style="65" bestFit="1" customWidth="1"/>
    <col min="11272" max="11520" width="9.140625" style="65"/>
    <col min="11521" max="11521" width="91.5703125" style="65" customWidth="1"/>
    <col min="11522" max="11522" width="15" style="65" customWidth="1"/>
    <col min="11523" max="11524" width="13.85546875" style="65" customWidth="1"/>
    <col min="11525" max="11525" width="14.140625" style="65" customWidth="1"/>
    <col min="11526" max="11526" width="11.140625" style="65" customWidth="1"/>
    <col min="11527" max="11527" width="12.42578125" style="65" bestFit="1" customWidth="1"/>
    <col min="11528" max="11776" width="9.140625" style="65"/>
    <col min="11777" max="11777" width="91.5703125" style="65" customWidth="1"/>
    <col min="11778" max="11778" width="15" style="65" customWidth="1"/>
    <col min="11779" max="11780" width="13.85546875" style="65" customWidth="1"/>
    <col min="11781" max="11781" width="14.140625" style="65" customWidth="1"/>
    <col min="11782" max="11782" width="11.140625" style="65" customWidth="1"/>
    <col min="11783" max="11783" width="12.42578125" style="65" bestFit="1" customWidth="1"/>
    <col min="11784" max="12032" width="9.140625" style="65"/>
    <col min="12033" max="12033" width="91.5703125" style="65" customWidth="1"/>
    <col min="12034" max="12034" width="15" style="65" customWidth="1"/>
    <col min="12035" max="12036" width="13.85546875" style="65" customWidth="1"/>
    <col min="12037" max="12037" width="14.140625" style="65" customWidth="1"/>
    <col min="12038" max="12038" width="11.140625" style="65" customWidth="1"/>
    <col min="12039" max="12039" width="12.42578125" style="65" bestFit="1" customWidth="1"/>
    <col min="12040" max="12288" width="9.140625" style="65"/>
    <col min="12289" max="12289" width="91.5703125" style="65" customWidth="1"/>
    <col min="12290" max="12290" width="15" style="65" customWidth="1"/>
    <col min="12291" max="12292" width="13.85546875" style="65" customWidth="1"/>
    <col min="12293" max="12293" width="14.140625" style="65" customWidth="1"/>
    <col min="12294" max="12294" width="11.140625" style="65" customWidth="1"/>
    <col min="12295" max="12295" width="12.42578125" style="65" bestFit="1" customWidth="1"/>
    <col min="12296" max="12544" width="9.140625" style="65"/>
    <col min="12545" max="12545" width="91.5703125" style="65" customWidth="1"/>
    <col min="12546" max="12546" width="15" style="65" customWidth="1"/>
    <col min="12547" max="12548" width="13.85546875" style="65" customWidth="1"/>
    <col min="12549" max="12549" width="14.140625" style="65" customWidth="1"/>
    <col min="12550" max="12550" width="11.140625" style="65" customWidth="1"/>
    <col min="12551" max="12551" width="12.42578125" style="65" bestFit="1" customWidth="1"/>
    <col min="12552" max="12800" width="9.140625" style="65"/>
    <col min="12801" max="12801" width="91.5703125" style="65" customWidth="1"/>
    <col min="12802" max="12802" width="15" style="65" customWidth="1"/>
    <col min="12803" max="12804" width="13.85546875" style="65" customWidth="1"/>
    <col min="12805" max="12805" width="14.140625" style="65" customWidth="1"/>
    <col min="12806" max="12806" width="11.140625" style="65" customWidth="1"/>
    <col min="12807" max="12807" width="12.42578125" style="65" bestFit="1" customWidth="1"/>
    <col min="12808" max="13056" width="9.140625" style="65"/>
    <col min="13057" max="13057" width="91.5703125" style="65" customWidth="1"/>
    <col min="13058" max="13058" width="15" style="65" customWidth="1"/>
    <col min="13059" max="13060" width="13.85546875" style="65" customWidth="1"/>
    <col min="13061" max="13061" width="14.140625" style="65" customWidth="1"/>
    <col min="13062" max="13062" width="11.140625" style="65" customWidth="1"/>
    <col min="13063" max="13063" width="12.42578125" style="65" bestFit="1" customWidth="1"/>
    <col min="13064" max="13312" width="9.140625" style="65"/>
    <col min="13313" max="13313" width="91.5703125" style="65" customWidth="1"/>
    <col min="13314" max="13314" width="15" style="65" customWidth="1"/>
    <col min="13315" max="13316" width="13.85546875" style="65" customWidth="1"/>
    <col min="13317" max="13317" width="14.140625" style="65" customWidth="1"/>
    <col min="13318" max="13318" width="11.140625" style="65" customWidth="1"/>
    <col min="13319" max="13319" width="12.42578125" style="65" bestFit="1" customWidth="1"/>
    <col min="13320" max="13568" width="9.140625" style="65"/>
    <col min="13569" max="13569" width="91.5703125" style="65" customWidth="1"/>
    <col min="13570" max="13570" width="15" style="65" customWidth="1"/>
    <col min="13571" max="13572" width="13.85546875" style="65" customWidth="1"/>
    <col min="13573" max="13573" width="14.140625" style="65" customWidth="1"/>
    <col min="13574" max="13574" width="11.140625" style="65" customWidth="1"/>
    <col min="13575" max="13575" width="12.42578125" style="65" bestFit="1" customWidth="1"/>
    <col min="13576" max="13824" width="9.140625" style="65"/>
    <col min="13825" max="13825" width="91.5703125" style="65" customWidth="1"/>
    <col min="13826" max="13826" width="15" style="65" customWidth="1"/>
    <col min="13827" max="13828" width="13.85546875" style="65" customWidth="1"/>
    <col min="13829" max="13829" width="14.140625" style="65" customWidth="1"/>
    <col min="13830" max="13830" width="11.140625" style="65" customWidth="1"/>
    <col min="13831" max="13831" width="12.42578125" style="65" bestFit="1" customWidth="1"/>
    <col min="13832" max="14080" width="9.140625" style="65"/>
    <col min="14081" max="14081" width="91.5703125" style="65" customWidth="1"/>
    <col min="14082" max="14082" width="15" style="65" customWidth="1"/>
    <col min="14083" max="14084" width="13.85546875" style="65" customWidth="1"/>
    <col min="14085" max="14085" width="14.140625" style="65" customWidth="1"/>
    <col min="14086" max="14086" width="11.140625" style="65" customWidth="1"/>
    <col min="14087" max="14087" width="12.42578125" style="65" bestFit="1" customWidth="1"/>
    <col min="14088" max="14336" width="9.140625" style="65"/>
    <col min="14337" max="14337" width="91.5703125" style="65" customWidth="1"/>
    <col min="14338" max="14338" width="15" style="65" customWidth="1"/>
    <col min="14339" max="14340" width="13.85546875" style="65" customWidth="1"/>
    <col min="14341" max="14341" width="14.140625" style="65" customWidth="1"/>
    <col min="14342" max="14342" width="11.140625" style="65" customWidth="1"/>
    <col min="14343" max="14343" width="12.42578125" style="65" bestFit="1" customWidth="1"/>
    <col min="14344" max="14592" width="9.140625" style="65"/>
    <col min="14593" max="14593" width="91.5703125" style="65" customWidth="1"/>
    <col min="14594" max="14594" width="15" style="65" customWidth="1"/>
    <col min="14595" max="14596" width="13.85546875" style="65" customWidth="1"/>
    <col min="14597" max="14597" width="14.140625" style="65" customWidth="1"/>
    <col min="14598" max="14598" width="11.140625" style="65" customWidth="1"/>
    <col min="14599" max="14599" width="12.42578125" style="65" bestFit="1" customWidth="1"/>
    <col min="14600" max="14848" width="9.140625" style="65"/>
    <col min="14849" max="14849" width="91.5703125" style="65" customWidth="1"/>
    <col min="14850" max="14850" width="15" style="65" customWidth="1"/>
    <col min="14851" max="14852" width="13.85546875" style="65" customWidth="1"/>
    <col min="14853" max="14853" width="14.140625" style="65" customWidth="1"/>
    <col min="14854" max="14854" width="11.140625" style="65" customWidth="1"/>
    <col min="14855" max="14855" width="12.42578125" style="65" bestFit="1" customWidth="1"/>
    <col min="14856" max="15104" width="9.140625" style="65"/>
    <col min="15105" max="15105" width="91.5703125" style="65" customWidth="1"/>
    <col min="15106" max="15106" width="15" style="65" customWidth="1"/>
    <col min="15107" max="15108" width="13.85546875" style="65" customWidth="1"/>
    <col min="15109" max="15109" width="14.140625" style="65" customWidth="1"/>
    <col min="15110" max="15110" width="11.140625" style="65" customWidth="1"/>
    <col min="15111" max="15111" width="12.42578125" style="65" bestFit="1" customWidth="1"/>
    <col min="15112" max="15360" width="9.140625" style="65"/>
    <col min="15361" max="15361" width="91.5703125" style="65" customWidth="1"/>
    <col min="15362" max="15362" width="15" style="65" customWidth="1"/>
    <col min="15363" max="15364" width="13.85546875" style="65" customWidth="1"/>
    <col min="15365" max="15365" width="14.140625" style="65" customWidth="1"/>
    <col min="15366" max="15366" width="11.140625" style="65" customWidth="1"/>
    <col min="15367" max="15367" width="12.42578125" style="65" bestFit="1" customWidth="1"/>
    <col min="15368" max="15616" width="9.140625" style="65"/>
    <col min="15617" max="15617" width="91.5703125" style="65" customWidth="1"/>
    <col min="15618" max="15618" width="15" style="65" customWidth="1"/>
    <col min="15619" max="15620" width="13.85546875" style="65" customWidth="1"/>
    <col min="15621" max="15621" width="14.140625" style="65" customWidth="1"/>
    <col min="15622" max="15622" width="11.140625" style="65" customWidth="1"/>
    <col min="15623" max="15623" width="12.42578125" style="65" bestFit="1" customWidth="1"/>
    <col min="15624" max="15872" width="9.140625" style="65"/>
    <col min="15873" max="15873" width="91.5703125" style="65" customWidth="1"/>
    <col min="15874" max="15874" width="15" style="65" customWidth="1"/>
    <col min="15875" max="15876" width="13.85546875" style="65" customWidth="1"/>
    <col min="15877" max="15877" width="14.140625" style="65" customWidth="1"/>
    <col min="15878" max="15878" width="11.140625" style="65" customWidth="1"/>
    <col min="15879" max="15879" width="12.42578125" style="65" bestFit="1" customWidth="1"/>
    <col min="15880" max="16128" width="9.140625" style="65"/>
    <col min="16129" max="16129" width="91.5703125" style="65" customWidth="1"/>
    <col min="16130" max="16130" width="15" style="65" customWidth="1"/>
    <col min="16131" max="16132" width="13.85546875" style="65" customWidth="1"/>
    <col min="16133" max="16133" width="14.140625" style="65" customWidth="1"/>
    <col min="16134" max="16134" width="11.140625" style="65" customWidth="1"/>
    <col min="16135" max="16135" width="12.42578125" style="65" bestFit="1" customWidth="1"/>
    <col min="16136" max="16384" width="9.140625" style="65"/>
  </cols>
  <sheetData>
    <row r="1" spans="1:4" ht="16.5" customHeight="1" x14ac:dyDescent="0.25">
      <c r="A1" s="196" t="s">
        <v>0</v>
      </c>
      <c r="B1" s="196"/>
    </row>
    <row r="2" spans="1:4" ht="16.5" x14ac:dyDescent="0.25">
      <c r="A2" s="198" t="s">
        <v>1</v>
      </c>
      <c r="B2" s="198"/>
    </row>
    <row r="3" spans="1:4" ht="16.5" x14ac:dyDescent="0.25">
      <c r="A3" s="198" t="s">
        <v>2</v>
      </c>
      <c r="B3" s="198"/>
    </row>
    <row r="4" spans="1:4" x14ac:dyDescent="0.25">
      <c r="A4" s="69" t="s">
        <v>97</v>
      </c>
      <c r="B4" s="69"/>
    </row>
    <row r="5" spans="1:4" x14ac:dyDescent="0.25">
      <c r="A5" s="69" t="s">
        <v>188</v>
      </c>
      <c r="B5" s="69"/>
    </row>
    <row r="6" spans="1:4" x14ac:dyDescent="0.25">
      <c r="A6" s="69"/>
      <c r="C6" s="3"/>
    </row>
    <row r="7" spans="1:4" ht="16.5" thickBot="1" x14ac:dyDescent="0.3">
      <c r="A7" s="168"/>
      <c r="C7" s="3"/>
    </row>
    <row r="8" spans="1:4" x14ac:dyDescent="0.25">
      <c r="A8" s="210" t="s">
        <v>4</v>
      </c>
      <c r="B8" s="205" t="s">
        <v>5</v>
      </c>
      <c r="C8" s="207" t="s">
        <v>6</v>
      </c>
      <c r="D8" s="207" t="s">
        <v>7</v>
      </c>
    </row>
    <row r="9" spans="1:4" ht="16.5" thickBot="1" x14ac:dyDescent="0.3">
      <c r="A9" s="211"/>
      <c r="B9" s="206"/>
      <c r="C9" s="208"/>
      <c r="D9" s="208"/>
    </row>
    <row r="10" spans="1:4" ht="16.5" thickBot="1" x14ac:dyDescent="0.3">
      <c r="A10" s="70" t="s">
        <v>8</v>
      </c>
      <c r="B10" s="188">
        <v>-7313.0801161094896</v>
      </c>
      <c r="C10" s="72"/>
      <c r="D10" s="72"/>
    </row>
    <row r="11" spans="1:4" ht="16.5" hidden="1" thickBot="1" x14ac:dyDescent="0.3">
      <c r="A11" s="73" t="s">
        <v>9</v>
      </c>
      <c r="B11" s="176"/>
      <c r="C11" s="74"/>
      <c r="D11" s="74"/>
    </row>
    <row r="12" spans="1:4" x14ac:dyDescent="0.25">
      <c r="A12" s="75" t="s">
        <v>10</v>
      </c>
      <c r="B12" s="177"/>
      <c r="C12" s="77" t="s">
        <v>11</v>
      </c>
      <c r="D12" s="133" t="s">
        <v>11</v>
      </c>
    </row>
    <row r="13" spans="1:4" hidden="1" x14ac:dyDescent="0.25">
      <c r="A13" s="78" t="s">
        <v>12</v>
      </c>
      <c r="B13" s="17">
        <v>224.4</v>
      </c>
      <c r="C13" s="82" t="s">
        <v>11</v>
      </c>
      <c r="D13" s="79" t="s">
        <v>11</v>
      </c>
    </row>
    <row r="14" spans="1:4" hidden="1" x14ac:dyDescent="0.25">
      <c r="A14" s="78" t="s">
        <v>13</v>
      </c>
      <c r="B14" s="17">
        <v>0</v>
      </c>
      <c r="C14" s="82"/>
      <c r="D14" s="79"/>
    </row>
    <row r="15" spans="1:4" hidden="1" x14ac:dyDescent="0.25">
      <c r="A15" s="78" t="s">
        <v>14</v>
      </c>
      <c r="B15" s="17">
        <f>B13+B14</f>
        <v>224.4</v>
      </c>
      <c r="C15" s="82"/>
      <c r="D15" s="79"/>
    </row>
    <row r="16" spans="1:4" hidden="1" x14ac:dyDescent="0.25">
      <c r="A16" s="78" t="s">
        <v>15</v>
      </c>
      <c r="B16" s="17">
        <v>0</v>
      </c>
      <c r="C16" s="82" t="s">
        <v>11</v>
      </c>
      <c r="D16" s="79" t="s">
        <v>11</v>
      </c>
    </row>
    <row r="17" spans="1:7" hidden="1" x14ac:dyDescent="0.25">
      <c r="A17" s="78" t="s">
        <v>16</v>
      </c>
      <c r="B17" s="17">
        <v>0</v>
      </c>
      <c r="C17" s="82" t="s">
        <v>11</v>
      </c>
      <c r="D17" s="79" t="s">
        <v>11</v>
      </c>
    </row>
    <row r="18" spans="1:7" hidden="1" x14ac:dyDescent="0.25">
      <c r="A18" s="78" t="s">
        <v>17</v>
      </c>
      <c r="B18" s="17">
        <v>0</v>
      </c>
      <c r="C18" s="82" t="s">
        <v>11</v>
      </c>
      <c r="D18" s="79" t="s">
        <v>11</v>
      </c>
    </row>
    <row r="19" spans="1:7" hidden="1" x14ac:dyDescent="0.25">
      <c r="A19" s="78" t="s">
        <v>18</v>
      </c>
      <c r="B19" s="17">
        <v>0</v>
      </c>
      <c r="C19" s="82" t="s">
        <v>11</v>
      </c>
      <c r="D19" s="79" t="s">
        <v>11</v>
      </c>
    </row>
    <row r="20" spans="1:7" hidden="1" x14ac:dyDescent="0.25">
      <c r="A20" s="78" t="s">
        <v>19</v>
      </c>
      <c r="B20" s="17">
        <v>251</v>
      </c>
      <c r="C20" s="82"/>
      <c r="D20" s="79"/>
    </row>
    <row r="21" spans="1:7" hidden="1" x14ac:dyDescent="0.25">
      <c r="A21" s="78" t="s">
        <v>20</v>
      </c>
      <c r="B21" s="17">
        <v>0</v>
      </c>
      <c r="C21" s="82" t="s">
        <v>11</v>
      </c>
      <c r="D21" s="79" t="s">
        <v>11</v>
      </c>
    </row>
    <row r="22" spans="1:7" hidden="1" x14ac:dyDescent="0.25">
      <c r="A22" s="78" t="s">
        <v>21</v>
      </c>
      <c r="B22" s="17">
        <v>7</v>
      </c>
      <c r="C22" s="82"/>
      <c r="D22" s="79"/>
    </row>
    <row r="23" spans="1:7" hidden="1" x14ac:dyDescent="0.25">
      <c r="A23" s="78"/>
      <c r="B23" s="17"/>
      <c r="C23" s="82"/>
      <c r="D23" s="79"/>
      <c r="E23" s="65">
        <v>10</v>
      </c>
      <c r="F23" s="65">
        <v>2</v>
      </c>
    </row>
    <row r="24" spans="1:7" x14ac:dyDescent="0.25">
      <c r="A24" s="87" t="s">
        <v>153</v>
      </c>
      <c r="B24" s="24">
        <f>VLOOKUP(A5,Лист11!K:M,2,FALSE)</f>
        <v>22897.78</v>
      </c>
      <c r="C24" s="82"/>
      <c r="D24" s="79"/>
      <c r="E24" s="67">
        <v>14.909999942000001</v>
      </c>
      <c r="F24" s="68">
        <v>16.6902539350748</v>
      </c>
    </row>
    <row r="25" spans="1:7" x14ac:dyDescent="0.25">
      <c r="A25" s="87" t="s">
        <v>154</v>
      </c>
      <c r="B25" s="24">
        <f>VLOOKUP(A5,Лист11!K:M,3,FALSE)</f>
        <v>22013.51</v>
      </c>
      <c r="C25" s="82"/>
      <c r="D25" s="79"/>
    </row>
    <row r="26" spans="1:7" hidden="1" x14ac:dyDescent="0.25">
      <c r="A26" s="87" t="s">
        <v>160</v>
      </c>
      <c r="B26" s="24"/>
      <c r="C26" s="82"/>
      <c r="D26" s="79"/>
    </row>
    <row r="27" spans="1:7" hidden="1" x14ac:dyDescent="0.25">
      <c r="A27" s="87" t="s">
        <v>91</v>
      </c>
      <c r="B27" s="24">
        <f>B26</f>
        <v>0</v>
      </c>
      <c r="C27" s="82"/>
      <c r="D27" s="79"/>
    </row>
    <row r="28" spans="1:7" hidden="1" x14ac:dyDescent="0.25">
      <c r="A28" s="87" t="s">
        <v>189</v>
      </c>
      <c r="B28" s="24"/>
      <c r="C28" s="82"/>
      <c r="D28" s="79"/>
      <c r="E28" s="65">
        <v>2.8</v>
      </c>
    </row>
    <row r="29" spans="1:7" hidden="1" x14ac:dyDescent="0.25">
      <c r="A29" s="87" t="s">
        <v>26</v>
      </c>
      <c r="B29" s="17"/>
      <c r="C29" s="82"/>
      <c r="D29" s="79"/>
    </row>
    <row r="30" spans="1:7" x14ac:dyDescent="0.25">
      <c r="A30" s="89"/>
      <c r="B30" s="17"/>
      <c r="C30" s="82"/>
      <c r="D30" s="79"/>
    </row>
    <row r="31" spans="1:7" x14ac:dyDescent="0.25">
      <c r="A31" s="90" t="s">
        <v>27</v>
      </c>
      <c r="B31" s="17"/>
      <c r="C31" s="82"/>
      <c r="D31" s="79"/>
    </row>
    <row r="32" spans="1:7" s="141" customFormat="1" ht="31.5" x14ac:dyDescent="0.25">
      <c r="A32" s="91" t="s">
        <v>28</v>
      </c>
      <c r="B32" s="24">
        <f>SUM(B33:B41)</f>
        <v>9000</v>
      </c>
      <c r="C32" s="82"/>
      <c r="D32" s="79"/>
      <c r="E32" s="140">
        <f>(B24-B86)/1.2/1.03</f>
        <v>-5373.300495421875</v>
      </c>
      <c r="F32" s="140" t="e">
        <f>(#REF!-#REF!)/1.2/1.03</f>
        <v>#REF!</v>
      </c>
      <c r="G32" s="140" t="e">
        <f>(#REF!-#REF!)/1.2/1.03</f>
        <v>#REF!</v>
      </c>
    </row>
    <row r="33" spans="1:7" x14ac:dyDescent="0.25">
      <c r="A33" s="33" t="s">
        <v>29</v>
      </c>
      <c r="B33" s="17">
        <v>9000</v>
      </c>
      <c r="C33" s="82"/>
      <c r="D33" s="79">
        <v>0</v>
      </c>
    </row>
    <row r="34" spans="1:7" hidden="1" x14ac:dyDescent="0.25">
      <c r="A34" s="33" t="s">
        <v>36</v>
      </c>
      <c r="B34" s="17"/>
      <c r="C34" s="82"/>
      <c r="D34" s="79">
        <v>0</v>
      </c>
    </row>
    <row r="35" spans="1:7" hidden="1" x14ac:dyDescent="0.25">
      <c r="A35" s="33" t="s">
        <v>190</v>
      </c>
      <c r="B35" s="17">
        <v>0</v>
      </c>
      <c r="C35" s="82"/>
      <c r="D35" s="79">
        <v>0</v>
      </c>
    </row>
    <row r="36" spans="1:7" hidden="1" x14ac:dyDescent="0.25">
      <c r="A36" s="33" t="s">
        <v>155</v>
      </c>
      <c r="B36" s="17">
        <v>0</v>
      </c>
      <c r="C36" s="82" t="s">
        <v>11</v>
      </c>
      <c r="D36" s="79">
        <v>0</v>
      </c>
    </row>
    <row r="37" spans="1:7" hidden="1" x14ac:dyDescent="0.25">
      <c r="A37" s="33" t="s">
        <v>191</v>
      </c>
      <c r="B37" s="17">
        <v>0</v>
      </c>
      <c r="C37" s="82"/>
      <c r="D37" s="79">
        <v>0</v>
      </c>
    </row>
    <row r="38" spans="1:7" hidden="1" x14ac:dyDescent="0.25">
      <c r="A38" s="33" t="s">
        <v>34</v>
      </c>
      <c r="B38" s="17">
        <v>0</v>
      </c>
      <c r="C38" s="82"/>
      <c r="D38" s="79">
        <v>0</v>
      </c>
    </row>
    <row r="39" spans="1:7" hidden="1" x14ac:dyDescent="0.25">
      <c r="A39" s="33" t="s">
        <v>162</v>
      </c>
      <c r="B39" s="17">
        <v>0</v>
      </c>
      <c r="C39" s="82"/>
      <c r="D39" s="79">
        <v>0</v>
      </c>
    </row>
    <row r="40" spans="1:7" hidden="1" x14ac:dyDescent="0.25">
      <c r="A40" s="33" t="s">
        <v>92</v>
      </c>
      <c r="B40" s="17">
        <v>0</v>
      </c>
      <c r="C40" s="82"/>
      <c r="D40" s="79"/>
    </row>
    <row r="41" spans="1:7" hidden="1" x14ac:dyDescent="0.25">
      <c r="A41" s="33" t="s">
        <v>108</v>
      </c>
      <c r="B41" s="17">
        <v>0</v>
      </c>
      <c r="C41" s="82"/>
      <c r="D41" s="79"/>
    </row>
    <row r="42" spans="1:7" s="141" customFormat="1" ht="47.25" x14ac:dyDescent="0.25">
      <c r="A42" s="91" t="s">
        <v>102</v>
      </c>
      <c r="B42" s="24">
        <f>SUM(B43:B45)</f>
        <v>1303.8864007506286</v>
      </c>
      <c r="C42" s="82"/>
      <c r="D42" s="79"/>
      <c r="E42" s="140"/>
      <c r="F42" s="140"/>
      <c r="G42" s="140"/>
    </row>
    <row r="43" spans="1:7" hidden="1" x14ac:dyDescent="0.25">
      <c r="A43" s="33" t="s">
        <v>38</v>
      </c>
      <c r="B43" s="17"/>
      <c r="C43" s="80"/>
      <c r="D43" s="92"/>
    </row>
    <row r="44" spans="1:7" hidden="1" x14ac:dyDescent="0.25">
      <c r="A44" s="33" t="s">
        <v>39</v>
      </c>
      <c r="B44" s="17">
        <v>0</v>
      </c>
      <c r="C44" s="80"/>
      <c r="D44" s="92"/>
    </row>
    <row r="45" spans="1:7" x14ac:dyDescent="0.25">
      <c r="A45" s="44" t="s">
        <v>40</v>
      </c>
      <c r="B45" s="17">
        <f>'[1]63тарифы'!D163*B13*1.0952</f>
        <v>1303.8864007506286</v>
      </c>
      <c r="C45" s="80"/>
      <c r="D45" s="92"/>
    </row>
    <row r="46" spans="1:7" s="3" customFormat="1" x14ac:dyDescent="0.25">
      <c r="A46" s="91" t="s">
        <v>41</v>
      </c>
      <c r="B46" s="24">
        <f>SUM(B47:B65)</f>
        <v>52.54</v>
      </c>
      <c r="C46" s="82"/>
      <c r="D46" s="79"/>
    </row>
    <row r="47" spans="1:7" hidden="1" x14ac:dyDescent="0.25">
      <c r="A47" s="33" t="s">
        <v>180</v>
      </c>
      <c r="B47" s="17">
        <v>0</v>
      </c>
      <c r="C47" s="82"/>
      <c r="D47" s="79"/>
      <c r="E47" s="65" t="s">
        <v>43</v>
      </c>
    </row>
    <row r="48" spans="1:7" hidden="1" x14ac:dyDescent="0.25">
      <c r="A48" s="33" t="s">
        <v>163</v>
      </c>
      <c r="B48" s="17">
        <v>0</v>
      </c>
      <c r="C48" s="82"/>
      <c r="D48" s="79"/>
      <c r="E48" s="65" t="s">
        <v>45</v>
      </c>
    </row>
    <row r="49" spans="1:5" hidden="1" x14ac:dyDescent="0.25">
      <c r="A49" s="93" t="s">
        <v>117</v>
      </c>
      <c r="B49" s="79">
        <v>0</v>
      </c>
      <c r="C49" s="82"/>
      <c r="D49" s="79"/>
    </row>
    <row r="50" spans="1:5" hidden="1" x14ac:dyDescent="0.25">
      <c r="A50" s="93" t="s">
        <v>47</v>
      </c>
      <c r="B50" s="79">
        <v>0</v>
      </c>
      <c r="C50" s="82"/>
      <c r="D50" s="79"/>
    </row>
    <row r="51" spans="1:5" hidden="1" x14ac:dyDescent="0.25">
      <c r="A51" s="93" t="s">
        <v>93</v>
      </c>
      <c r="B51" s="79">
        <v>0</v>
      </c>
      <c r="C51" s="82"/>
      <c r="D51" s="79"/>
    </row>
    <row r="52" spans="1:5" hidden="1" x14ac:dyDescent="0.25">
      <c r="A52" s="93" t="s">
        <v>49</v>
      </c>
      <c r="B52" s="79">
        <f>B21*'[1]63тарифы'!D177</f>
        <v>0</v>
      </c>
      <c r="C52" s="82"/>
      <c r="D52" s="79"/>
    </row>
    <row r="53" spans="1:5" hidden="1" x14ac:dyDescent="0.25">
      <c r="A53" s="93" t="s">
        <v>50</v>
      </c>
      <c r="B53" s="17">
        <v>0</v>
      </c>
      <c r="C53" s="82">
        <v>0</v>
      </c>
      <c r="D53" s="79">
        <v>522.99</v>
      </c>
    </row>
    <row r="54" spans="1:5" hidden="1" x14ac:dyDescent="0.25">
      <c r="A54" s="93" t="s">
        <v>51</v>
      </c>
      <c r="B54" s="17">
        <v>0</v>
      </c>
      <c r="C54" s="82">
        <v>0</v>
      </c>
      <c r="D54" s="95">
        <v>695.13</v>
      </c>
    </row>
    <row r="55" spans="1:5" hidden="1" x14ac:dyDescent="0.25">
      <c r="A55" s="93" t="s">
        <v>52</v>
      </c>
      <c r="B55" s="17">
        <v>0</v>
      </c>
      <c r="C55" s="82"/>
      <c r="D55" s="95"/>
    </row>
    <row r="56" spans="1:5" hidden="1" x14ac:dyDescent="0.25">
      <c r="A56" s="93" t="s">
        <v>53</v>
      </c>
      <c r="B56" s="17">
        <v>0</v>
      </c>
      <c r="C56" s="82">
        <v>0</v>
      </c>
      <c r="D56" s="79">
        <f>10695.76/1.18</f>
        <v>9064.203389830509</v>
      </c>
    </row>
    <row r="57" spans="1:5" hidden="1" x14ac:dyDescent="0.25">
      <c r="A57" s="93" t="s">
        <v>54</v>
      </c>
      <c r="B57" s="17">
        <v>0</v>
      </c>
      <c r="C57" s="82">
        <v>0</v>
      </c>
      <c r="D57" s="79">
        <f>2300/1.18</f>
        <v>1949.1525423728815</v>
      </c>
    </row>
    <row r="58" spans="1:5" hidden="1" x14ac:dyDescent="0.25">
      <c r="A58" s="93" t="s">
        <v>55</v>
      </c>
      <c r="B58" s="17">
        <v>0</v>
      </c>
      <c r="C58" s="82">
        <v>0</v>
      </c>
      <c r="D58" s="79">
        <v>0</v>
      </c>
    </row>
    <row r="59" spans="1:5" hidden="1" x14ac:dyDescent="0.25">
      <c r="A59" s="93" t="s">
        <v>56</v>
      </c>
      <c r="B59" s="17">
        <f>B13*'[1]63тарифы'!D184</f>
        <v>0</v>
      </c>
      <c r="C59" s="82"/>
      <c r="D59" s="79"/>
    </row>
    <row r="60" spans="1:5" hidden="1" x14ac:dyDescent="0.25">
      <c r="A60" s="33" t="s">
        <v>57</v>
      </c>
      <c r="B60" s="17">
        <v>0</v>
      </c>
      <c r="C60" s="82"/>
      <c r="D60" s="79"/>
    </row>
    <row r="61" spans="1:5" hidden="1" x14ac:dyDescent="0.25">
      <c r="A61" s="33" t="s">
        <v>58</v>
      </c>
      <c r="B61" s="17">
        <v>0</v>
      </c>
      <c r="C61" s="82"/>
      <c r="D61" s="79">
        <v>11000</v>
      </c>
    </row>
    <row r="62" spans="1:5" hidden="1" x14ac:dyDescent="0.25">
      <c r="A62" s="33" t="s">
        <v>94</v>
      </c>
      <c r="B62" s="17">
        <v>0</v>
      </c>
      <c r="C62" s="82"/>
      <c r="D62" s="79">
        <v>0</v>
      </c>
    </row>
    <row r="63" spans="1:5" hidden="1" x14ac:dyDescent="0.25">
      <c r="A63" s="33" t="s">
        <v>60</v>
      </c>
      <c r="B63" s="146">
        <v>0</v>
      </c>
      <c r="C63" s="147">
        <v>1</v>
      </c>
      <c r="D63" s="79">
        <v>0</v>
      </c>
    </row>
    <row r="64" spans="1:5" hidden="1" x14ac:dyDescent="0.25">
      <c r="A64" s="33" t="s">
        <v>61</v>
      </c>
      <c r="B64" s="146">
        <v>0</v>
      </c>
      <c r="C64" s="147">
        <v>4</v>
      </c>
      <c r="D64" s="79">
        <v>1</v>
      </c>
      <c r="E64" s="65">
        <v>0</v>
      </c>
    </row>
    <row r="65" spans="1:4" x14ac:dyDescent="0.25">
      <c r="A65" s="33" t="s">
        <v>46</v>
      </c>
      <c r="B65" s="146">
        <v>52.54</v>
      </c>
      <c r="C65" s="96"/>
      <c r="D65" s="92">
        <v>0</v>
      </c>
    </row>
    <row r="66" spans="1:4" s="3" customFormat="1" x14ac:dyDescent="0.25">
      <c r="A66" s="99" t="s">
        <v>63</v>
      </c>
      <c r="B66" s="24">
        <f>SUM(B67:B74)</f>
        <v>6874.2484287812786</v>
      </c>
      <c r="C66" s="80"/>
      <c r="D66" s="92"/>
    </row>
    <row r="67" spans="1:4" hidden="1" x14ac:dyDescent="0.25">
      <c r="A67" s="33" t="s">
        <v>64</v>
      </c>
      <c r="B67" s="17">
        <v>0</v>
      </c>
      <c r="C67" s="80"/>
      <c r="D67" s="92"/>
    </row>
    <row r="68" spans="1:4" hidden="1" x14ac:dyDescent="0.25">
      <c r="A68" s="33" t="s">
        <v>65</v>
      </c>
      <c r="B68" s="17">
        <v>0</v>
      </c>
      <c r="C68" s="80"/>
      <c r="D68" s="92"/>
    </row>
    <row r="69" spans="1:4" hidden="1" x14ac:dyDescent="0.25">
      <c r="A69" s="33" t="s">
        <v>66</v>
      </c>
      <c r="B69" s="17">
        <v>0</v>
      </c>
      <c r="C69" s="80"/>
      <c r="D69" s="92"/>
    </row>
    <row r="70" spans="1:4" hidden="1" x14ac:dyDescent="0.25">
      <c r="A70" s="44" t="s">
        <v>67</v>
      </c>
      <c r="B70" s="17">
        <v>0</v>
      </c>
      <c r="C70" s="80"/>
      <c r="D70" s="92"/>
    </row>
    <row r="71" spans="1:4" x14ac:dyDescent="0.25">
      <c r="A71" s="44" t="s">
        <v>68</v>
      </c>
      <c r="B71" s="17">
        <f>5.1*B15</f>
        <v>1144.44</v>
      </c>
      <c r="C71" s="80"/>
      <c r="D71" s="92"/>
    </row>
    <row r="72" spans="1:4" x14ac:dyDescent="0.25">
      <c r="A72" s="44" t="s">
        <v>69</v>
      </c>
      <c r="B72" s="17">
        <f>17.7*B15</f>
        <v>3971.88</v>
      </c>
      <c r="C72" s="80"/>
      <c r="D72" s="92"/>
    </row>
    <row r="73" spans="1:4" x14ac:dyDescent="0.25">
      <c r="A73" s="44" t="s">
        <v>70</v>
      </c>
      <c r="B73" s="17">
        <f>'[1]63тарифы'!D186*B15*1.0952</f>
        <v>223.71590958615437</v>
      </c>
      <c r="C73" s="80"/>
      <c r="D73" s="92"/>
    </row>
    <row r="74" spans="1:4" x14ac:dyDescent="0.25">
      <c r="A74" s="44" t="s">
        <v>192</v>
      </c>
      <c r="B74" s="17">
        <f>('[1]63тарифы'!D167*B15)+('[1]63тарифы'!D187*B15)*1.0952</f>
        <v>1534.2125191951247</v>
      </c>
      <c r="C74" s="80"/>
      <c r="D74" s="92"/>
    </row>
    <row r="75" spans="1:4" ht="63" x14ac:dyDescent="0.25">
      <c r="A75" s="101" t="s">
        <v>164</v>
      </c>
      <c r="B75" s="24">
        <f>SUM(B76:B76)</f>
        <v>6159.8976399999992</v>
      </c>
      <c r="C75" s="80"/>
      <c r="D75" s="92"/>
    </row>
    <row r="76" spans="1:4" x14ac:dyDescent="0.25">
      <c r="A76" s="44" t="s">
        <v>73</v>
      </c>
      <c r="B76" s="17">
        <f>5624.45*1.0952</f>
        <v>6159.8976399999992</v>
      </c>
      <c r="C76" s="80"/>
      <c r="D76" s="92"/>
    </row>
    <row r="77" spans="1:4" s="3" customFormat="1" ht="31.5" x14ac:dyDescent="0.25">
      <c r="A77" s="99" t="s">
        <v>74</v>
      </c>
      <c r="B77" s="24">
        <f>SUM(B78:B81)</f>
        <v>508.44</v>
      </c>
      <c r="C77" s="80"/>
      <c r="D77" s="92"/>
    </row>
    <row r="78" spans="1:4" hidden="1" x14ac:dyDescent="0.25">
      <c r="A78" s="47" t="s">
        <v>165</v>
      </c>
      <c r="B78" s="17"/>
      <c r="C78" s="80"/>
      <c r="D78" s="92"/>
    </row>
    <row r="79" spans="1:4" hidden="1" x14ac:dyDescent="0.25">
      <c r="A79" s="47" t="s">
        <v>76</v>
      </c>
      <c r="B79" s="17">
        <f>B26/1.2*30%</f>
        <v>0</v>
      </c>
      <c r="C79" s="80"/>
      <c r="D79" s="92"/>
    </row>
    <row r="80" spans="1:4" x14ac:dyDescent="0.25">
      <c r="A80" s="174" t="s">
        <v>166</v>
      </c>
      <c r="B80" s="17">
        <v>303.44</v>
      </c>
      <c r="C80" s="80"/>
      <c r="D80" s="92"/>
    </row>
    <row r="81" spans="1:5" x14ac:dyDescent="0.25">
      <c r="A81" s="174" t="s">
        <v>167</v>
      </c>
      <c r="B81" s="17">
        <v>205</v>
      </c>
      <c r="C81" s="80"/>
      <c r="D81" s="92"/>
    </row>
    <row r="82" spans="1:5" x14ac:dyDescent="0.25">
      <c r="A82" s="103" t="s">
        <v>79</v>
      </c>
      <c r="B82" s="24">
        <f>B32+B42+B46+B66+B75+B77</f>
        <v>23899.012469531906</v>
      </c>
      <c r="C82" s="80"/>
      <c r="D82" s="92"/>
    </row>
    <row r="83" spans="1:5" x14ac:dyDescent="0.25">
      <c r="A83" s="104" t="s">
        <v>80</v>
      </c>
      <c r="B83" s="17">
        <f>B82*0.03</f>
        <v>716.97037408595713</v>
      </c>
      <c r="C83" s="80"/>
      <c r="D83" s="92"/>
    </row>
    <row r="84" spans="1:5" s="141" customFormat="1" x14ac:dyDescent="0.25">
      <c r="A84" s="105" t="s">
        <v>81</v>
      </c>
      <c r="B84" s="24">
        <f>B82+B83</f>
        <v>24615.982843617865</v>
      </c>
      <c r="C84" s="80"/>
      <c r="D84" s="92"/>
    </row>
    <row r="85" spans="1:5" ht="16.5" thickBot="1" x14ac:dyDescent="0.3">
      <c r="A85" s="106" t="s">
        <v>82</v>
      </c>
      <c r="B85" s="53">
        <f>B84*0.2</f>
        <v>4923.1965687235734</v>
      </c>
      <c r="C85" s="80"/>
      <c r="D85" s="92"/>
    </row>
    <row r="86" spans="1:5" s="3" customFormat="1" ht="16.5" thickBot="1" x14ac:dyDescent="0.3">
      <c r="A86" s="107" t="s">
        <v>83</v>
      </c>
      <c r="B86" s="125">
        <f>B84+B85</f>
        <v>29539.179412341437</v>
      </c>
      <c r="C86" s="108"/>
      <c r="D86" s="76"/>
      <c r="E86" s="178"/>
    </row>
    <row r="87" spans="1:5" s="3" customFormat="1" ht="16.5" thickBot="1" x14ac:dyDescent="0.3">
      <c r="A87" s="109" t="s">
        <v>84</v>
      </c>
      <c r="B87" s="125">
        <f>B10+B24+B26+B28+B29-B86</f>
        <v>-13954.479528450927</v>
      </c>
      <c r="C87" s="111"/>
      <c r="D87" s="111"/>
    </row>
    <row r="88" spans="1:5" s="3" customFormat="1" ht="16.5" hidden="1" thickBot="1" x14ac:dyDescent="0.3">
      <c r="A88" s="112" t="s">
        <v>85</v>
      </c>
      <c r="B88" s="125"/>
      <c r="C88" s="111"/>
      <c r="D88" s="111"/>
    </row>
    <row r="89" spans="1:5" s="3" customFormat="1" ht="16.5" hidden="1" thickBot="1" x14ac:dyDescent="0.3">
      <c r="A89" s="167" t="s">
        <v>86</v>
      </c>
      <c r="B89" s="55"/>
      <c r="C89" s="111"/>
      <c r="D89" s="111"/>
    </row>
    <row r="90" spans="1:5" s="3" customFormat="1" x14ac:dyDescent="0.25">
      <c r="A90" s="115"/>
      <c r="B90" s="126"/>
      <c r="C90" s="111"/>
      <c r="D90" s="111"/>
    </row>
    <row r="91" spans="1:5" x14ac:dyDescent="0.25">
      <c r="A91" s="128"/>
    </row>
    <row r="92" spans="1:5" x14ac:dyDescent="0.25">
      <c r="A92" s="193" t="s">
        <v>416</v>
      </c>
      <c r="B92" s="193"/>
    </row>
    <row r="93" spans="1:5" x14ac:dyDescent="0.25">
      <c r="A93" s="128"/>
      <c r="B93" s="161"/>
    </row>
    <row r="94" spans="1:5" x14ac:dyDescent="0.25">
      <c r="A94" s="209"/>
      <c r="B94" s="209"/>
      <c r="C94" s="161"/>
    </row>
  </sheetData>
  <autoFilter ref="A32:B89" xr:uid="{00000000-0009-0000-0000-000018000000}">
    <filterColumn colId="1">
      <filters>
        <filter val="1 144,44"/>
        <filter val="1 303,89"/>
        <filter val="1 534,21"/>
        <filter val="-13 954,48"/>
        <filter val="205,00"/>
        <filter val="223,72"/>
        <filter val="23 899,01"/>
        <filter val="24 615,98"/>
        <filter val="29 539,18"/>
        <filter val="3 971,88"/>
        <filter val="303,44"/>
        <filter val="4 923,20"/>
        <filter val="508,44"/>
        <filter val="52,54"/>
        <filter val="6 159,90"/>
        <filter val="6 874,25"/>
        <filter val="716,97"/>
        <filter val="9 000,0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78740157480314965" right="0.78740157480314965" top="0.35433070866141736" bottom="0.15748031496062992" header="0.31496062992125984" footer="0.31496062992125984"/>
  <pageSetup paperSize="9" scale="8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filterMode="1">
    <pageSetUpPr fitToPage="1"/>
  </sheetPr>
  <dimension ref="A1:G95"/>
  <sheetViews>
    <sheetView view="pageBreakPreview" topLeftCell="A9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120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-557693.25648093817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1244.8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1244.8</v>
      </c>
      <c r="C15" s="20"/>
      <c r="D15" s="21"/>
    </row>
    <row r="16" spans="1:4" ht="16.5" hidden="1" thickBot="1" x14ac:dyDescent="0.3">
      <c r="A16" s="16" t="s">
        <v>15</v>
      </c>
      <c r="B16" s="17">
        <f>681.7+2240.1/3</f>
        <v>1428.4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748.6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1160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71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273882.58</v>
      </c>
      <c r="C24" s="18"/>
      <c r="D24" s="21"/>
      <c r="E24" s="67">
        <v>16.169999958999998</v>
      </c>
      <c r="F24" s="68">
        <v>18.100697954104596</v>
      </c>
      <c r="G24" s="1"/>
    </row>
    <row r="25" spans="1:7" ht="16.5" thickBot="1" x14ac:dyDescent="0.3">
      <c r="A25" s="23">
        <v>0</v>
      </c>
      <c r="B25" s="24">
        <f>VLOOKUP(A5,Лист11!K:M,3,FALSE)</f>
        <v>203248.43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1510.2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56358.950000000004</v>
      </c>
      <c r="C32" s="18"/>
      <c r="D32" s="21"/>
      <c r="E32" s="30">
        <f>(B86-B26-B24)/1.2/1.03</f>
        <v>70220.986584048835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36000</v>
      </c>
      <c r="C33" s="22"/>
      <c r="D33" s="21">
        <v>17579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5.75" x14ac:dyDescent="0.25">
      <c r="A35" s="32" t="s">
        <v>31</v>
      </c>
      <c r="B35" s="17">
        <v>8676.41</v>
      </c>
      <c r="C35" s="21"/>
      <c r="D35" s="18">
        <v>0</v>
      </c>
      <c r="E35" s="1"/>
      <c r="F35" s="1"/>
      <c r="G35" s="1"/>
    </row>
    <row r="36" spans="1:7" ht="16.5" thickBot="1" x14ac:dyDescent="0.3">
      <c r="A36" s="32" t="s">
        <v>32</v>
      </c>
      <c r="B36" s="17">
        <v>11682.54</v>
      </c>
      <c r="C36" s="21" t="s">
        <v>11</v>
      </c>
      <c r="D36" s="18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hidden="1" thickBot="1" x14ac:dyDescent="0.3">
      <c r="A38" s="32" t="s">
        <v>36</v>
      </c>
      <c r="B38" s="17">
        <v>0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70994.433244108368</v>
      </c>
      <c r="C42" s="14"/>
      <c r="D42" s="21"/>
      <c r="E42" s="30"/>
      <c r="F42" s="30"/>
      <c r="G42" s="30"/>
    </row>
    <row r="43" spans="1:7" ht="15.75" x14ac:dyDescent="0.25">
      <c r="A43" s="32" t="s">
        <v>38</v>
      </c>
      <c r="B43" s="17">
        <v>4896.16</v>
      </c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58001.69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'[1]34тарифы'!D163*B15*1.1194*1.0952</f>
        <v>8096.5832441083594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10470.484139203199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6.5" thickBot="1" x14ac:dyDescent="0.3">
      <c r="A48" s="32" t="s">
        <v>44</v>
      </c>
      <c r="B48" s="17">
        <f>4393.14*1.1194*1.0952</f>
        <v>5385.8441392032</v>
      </c>
      <c r="C48" s="21"/>
      <c r="D48" s="18"/>
      <c r="E48" s="1" t="s">
        <v>45</v>
      </c>
      <c r="F48" s="1"/>
      <c r="G48" s="1"/>
    </row>
    <row r="49" spans="1:5" ht="16.5" hidden="1" thickBot="1" x14ac:dyDescent="0.3">
      <c r="A49" s="36" t="s">
        <v>117</v>
      </c>
      <c r="B49" s="17">
        <v>0</v>
      </c>
      <c r="C49" s="21"/>
      <c r="D49" s="18"/>
      <c r="E49" s="1"/>
    </row>
    <row r="50" spans="1:5" ht="16.5" hidden="1" thickBot="1" x14ac:dyDescent="0.3">
      <c r="A50" s="36" t="s">
        <v>47</v>
      </c>
      <c r="B50" s="17">
        <v>0</v>
      </c>
      <c r="C50" s="21"/>
      <c r="D50" s="18">
        <v>4190</v>
      </c>
      <c r="E50" s="1"/>
    </row>
    <row r="51" spans="1:5" ht="16.5" hidden="1" thickBot="1" x14ac:dyDescent="0.3">
      <c r="A51" s="36" t="s">
        <v>93</v>
      </c>
      <c r="B51" s="17">
        <v>0</v>
      </c>
      <c r="C51" s="21"/>
      <c r="D51" s="18"/>
      <c r="E51" s="1"/>
    </row>
    <row r="52" spans="1:5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95</v>
      </c>
      <c r="B58" s="17"/>
      <c r="C58" s="19">
        <v>0</v>
      </c>
      <c r="D58" s="18">
        <v>0</v>
      </c>
      <c r="E58" s="1"/>
    </row>
    <row r="59" spans="1:5" ht="16.5" thickBot="1" x14ac:dyDescent="0.3">
      <c r="A59" s="36" t="s">
        <v>420</v>
      </c>
      <c r="B59" s="17">
        <v>5084.6400000000003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hidden="1" thickBot="1" x14ac:dyDescent="0.3">
      <c r="A64" s="32" t="s">
        <v>61</v>
      </c>
      <c r="B64" s="38">
        <v>0</v>
      </c>
      <c r="C64" s="40">
        <v>16</v>
      </c>
      <c r="D64" s="21">
        <v>1</v>
      </c>
      <c r="E64" s="1">
        <v>1</v>
      </c>
    </row>
    <row r="65" spans="1:4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101961.54721827892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50508.6*1.1194*1.0952</f>
        <v>61921.870755167991</v>
      </c>
      <c r="C68" s="14">
        <f>B68/B16</f>
        <v>43.350511590008395</v>
      </c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VLOOKUP(A71,[3]Лист1!S$1:T$65536,2,FALSE)*B15*1.0952</f>
        <v>6305.1556999442</v>
      </c>
      <c r="C71" s="43"/>
      <c r="D71" s="19"/>
    </row>
    <row r="72" spans="1:4" ht="15.75" x14ac:dyDescent="0.25">
      <c r="A72" s="35" t="s">
        <v>69</v>
      </c>
      <c r="B72" s="17">
        <f>VLOOKUP(A72,[3]Лист1!S$1:T$65536,2,FALSE)*B15*1.0952</f>
        <v>22010.166112008275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1389.181207774664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10335.173443383794</v>
      </c>
      <c r="C74" s="34"/>
      <c r="D74" s="19"/>
    </row>
    <row r="75" spans="1:4" ht="63" x14ac:dyDescent="0.25">
      <c r="A75" s="45" t="s">
        <v>72</v>
      </c>
      <c r="B75" s="29">
        <f>SUM(B76:B76)</f>
        <v>46371.617898468809</v>
      </c>
      <c r="C75" s="34"/>
      <c r="D75" s="19"/>
    </row>
    <row r="76" spans="1:4" ht="15.75" x14ac:dyDescent="0.25">
      <c r="A76" s="35" t="s">
        <v>73</v>
      </c>
      <c r="B76" s="17">
        <f>'[1]34ОЭР'!D232*1.1194*1.0952</f>
        <v>46371.617898468809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5651.8019804296264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2889.6</v>
      </c>
      <c r="C80" s="43"/>
      <c r="D80" s="19"/>
    </row>
    <row r="81" spans="1:4" ht="15.75" x14ac:dyDescent="0.25">
      <c r="A81" s="48" t="s">
        <v>78</v>
      </c>
      <c r="B81" s="17">
        <f>'[1]34тарифы'!D173*B13*1.1194*1.01</f>
        <v>2762.2019804296265</v>
      </c>
      <c r="C81" s="34"/>
      <c r="D81" s="19"/>
    </row>
    <row r="82" spans="1:4" ht="15.75" x14ac:dyDescent="0.25">
      <c r="A82" s="49" t="s">
        <v>79</v>
      </c>
      <c r="B82" s="24">
        <f>B32+B42+B46+B66+B75+B77</f>
        <v>291808.83448048896</v>
      </c>
      <c r="C82" s="34"/>
      <c r="D82" s="19"/>
    </row>
    <row r="83" spans="1:4" ht="15.75" x14ac:dyDescent="0.25">
      <c r="A83" s="50" t="s">
        <v>80</v>
      </c>
      <c r="B83" s="17">
        <f>B82*0.03</f>
        <v>8754.2650344146678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300563.09951490362</v>
      </c>
      <c r="C84" s="34"/>
      <c r="D84" s="19"/>
    </row>
    <row r="85" spans="1:4" ht="16.5" thickBot="1" x14ac:dyDescent="0.3">
      <c r="A85" s="52" t="s">
        <v>82</v>
      </c>
      <c r="B85" s="53">
        <f>B84*0.2</f>
        <v>60112.619902980725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360675.71941788436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-642976.19589882251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9000000}">
    <filterColumn colId="1">
      <filters>
        <filter val="1 389,18"/>
        <filter val="10 335,17"/>
        <filter val="10 470,48"/>
        <filter val="101 961,55"/>
        <filter val="11 682,54"/>
        <filter val="2 762,20"/>
        <filter val="2 889,60"/>
        <filter val="22 010,17"/>
        <filter val="291 808,83"/>
        <filter val="300 563,10"/>
        <filter val="36 000,00"/>
        <filter val="360 675,72"/>
        <filter val="4 896,16"/>
        <filter val="46 371,62"/>
        <filter val="5 084,64"/>
        <filter val="5 385,84"/>
        <filter val="5 651,80"/>
        <filter val="56 358,95"/>
        <filter val="58 001,69"/>
        <filter val="6 305,16"/>
        <filter val="60 112,62"/>
        <filter val="61 921,87"/>
        <filter val="-642 976,20"/>
        <filter val="70 994,43"/>
        <filter val="8 096,58"/>
        <filter val="8 676,41"/>
        <filter val="8 754,2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>
    <pageSetUpPr fitToPage="1"/>
  </sheetPr>
  <dimension ref="A1:G94"/>
  <sheetViews>
    <sheetView view="pageBreakPreview" zoomScale="80" zoomScaleNormal="100" zoomScaleSheetLayoutView="80" workbookViewId="0">
      <selection activeCell="C65" sqref="C65"/>
    </sheetView>
  </sheetViews>
  <sheetFormatPr defaultRowHeight="15.75" x14ac:dyDescent="0.25"/>
  <cols>
    <col min="1" max="1" width="89.5703125" style="65" customWidth="1"/>
    <col min="2" max="2" width="15" style="65" customWidth="1"/>
    <col min="3" max="4" width="13.85546875" style="65" customWidth="1"/>
    <col min="5" max="5" width="14.140625" style="65" customWidth="1"/>
    <col min="6" max="6" width="11.140625" style="65" customWidth="1"/>
    <col min="7" max="7" width="12.42578125" style="65" bestFit="1" customWidth="1"/>
    <col min="8" max="256" width="9.140625" style="65"/>
    <col min="257" max="257" width="91.5703125" style="65" customWidth="1"/>
    <col min="258" max="258" width="15" style="65" customWidth="1"/>
    <col min="259" max="260" width="13.85546875" style="65" customWidth="1"/>
    <col min="261" max="261" width="14.140625" style="65" customWidth="1"/>
    <col min="262" max="262" width="11.140625" style="65" customWidth="1"/>
    <col min="263" max="263" width="12.42578125" style="65" bestFit="1" customWidth="1"/>
    <col min="264" max="512" width="9.140625" style="65"/>
    <col min="513" max="513" width="91.5703125" style="65" customWidth="1"/>
    <col min="514" max="514" width="15" style="65" customWidth="1"/>
    <col min="515" max="516" width="13.85546875" style="65" customWidth="1"/>
    <col min="517" max="517" width="14.140625" style="65" customWidth="1"/>
    <col min="518" max="518" width="11.140625" style="65" customWidth="1"/>
    <col min="519" max="519" width="12.42578125" style="65" bestFit="1" customWidth="1"/>
    <col min="520" max="768" width="9.140625" style="65"/>
    <col min="769" max="769" width="91.5703125" style="65" customWidth="1"/>
    <col min="770" max="770" width="15" style="65" customWidth="1"/>
    <col min="771" max="772" width="13.85546875" style="65" customWidth="1"/>
    <col min="773" max="773" width="14.140625" style="65" customWidth="1"/>
    <col min="774" max="774" width="11.140625" style="65" customWidth="1"/>
    <col min="775" max="775" width="12.42578125" style="65" bestFit="1" customWidth="1"/>
    <col min="776" max="1024" width="9.140625" style="65"/>
    <col min="1025" max="1025" width="91.5703125" style="65" customWidth="1"/>
    <col min="1026" max="1026" width="15" style="65" customWidth="1"/>
    <col min="1027" max="1028" width="13.85546875" style="65" customWidth="1"/>
    <col min="1029" max="1029" width="14.140625" style="65" customWidth="1"/>
    <col min="1030" max="1030" width="11.140625" style="65" customWidth="1"/>
    <col min="1031" max="1031" width="12.42578125" style="65" bestFit="1" customWidth="1"/>
    <col min="1032" max="1280" width="9.140625" style="65"/>
    <col min="1281" max="1281" width="91.5703125" style="65" customWidth="1"/>
    <col min="1282" max="1282" width="15" style="65" customWidth="1"/>
    <col min="1283" max="1284" width="13.85546875" style="65" customWidth="1"/>
    <col min="1285" max="1285" width="14.140625" style="65" customWidth="1"/>
    <col min="1286" max="1286" width="11.140625" style="65" customWidth="1"/>
    <col min="1287" max="1287" width="12.42578125" style="65" bestFit="1" customWidth="1"/>
    <col min="1288" max="1536" width="9.140625" style="65"/>
    <col min="1537" max="1537" width="91.5703125" style="65" customWidth="1"/>
    <col min="1538" max="1538" width="15" style="65" customWidth="1"/>
    <col min="1539" max="1540" width="13.85546875" style="65" customWidth="1"/>
    <col min="1541" max="1541" width="14.140625" style="65" customWidth="1"/>
    <col min="1542" max="1542" width="11.140625" style="65" customWidth="1"/>
    <col min="1543" max="1543" width="12.42578125" style="65" bestFit="1" customWidth="1"/>
    <col min="1544" max="1792" width="9.140625" style="65"/>
    <col min="1793" max="1793" width="91.5703125" style="65" customWidth="1"/>
    <col min="1794" max="1794" width="15" style="65" customWidth="1"/>
    <col min="1795" max="1796" width="13.85546875" style="65" customWidth="1"/>
    <col min="1797" max="1797" width="14.140625" style="65" customWidth="1"/>
    <col min="1798" max="1798" width="11.140625" style="65" customWidth="1"/>
    <col min="1799" max="1799" width="12.42578125" style="65" bestFit="1" customWidth="1"/>
    <col min="1800" max="2048" width="9.140625" style="65"/>
    <col min="2049" max="2049" width="91.5703125" style="65" customWidth="1"/>
    <col min="2050" max="2050" width="15" style="65" customWidth="1"/>
    <col min="2051" max="2052" width="13.85546875" style="65" customWidth="1"/>
    <col min="2053" max="2053" width="14.140625" style="65" customWidth="1"/>
    <col min="2054" max="2054" width="11.140625" style="65" customWidth="1"/>
    <col min="2055" max="2055" width="12.42578125" style="65" bestFit="1" customWidth="1"/>
    <col min="2056" max="2304" width="9.140625" style="65"/>
    <col min="2305" max="2305" width="91.5703125" style="65" customWidth="1"/>
    <col min="2306" max="2306" width="15" style="65" customWidth="1"/>
    <col min="2307" max="2308" width="13.85546875" style="65" customWidth="1"/>
    <col min="2309" max="2309" width="14.140625" style="65" customWidth="1"/>
    <col min="2310" max="2310" width="11.140625" style="65" customWidth="1"/>
    <col min="2311" max="2311" width="12.42578125" style="65" bestFit="1" customWidth="1"/>
    <col min="2312" max="2560" width="9.140625" style="65"/>
    <col min="2561" max="2561" width="91.5703125" style="65" customWidth="1"/>
    <col min="2562" max="2562" width="15" style="65" customWidth="1"/>
    <col min="2563" max="2564" width="13.85546875" style="65" customWidth="1"/>
    <col min="2565" max="2565" width="14.140625" style="65" customWidth="1"/>
    <col min="2566" max="2566" width="11.140625" style="65" customWidth="1"/>
    <col min="2567" max="2567" width="12.42578125" style="65" bestFit="1" customWidth="1"/>
    <col min="2568" max="2816" width="9.140625" style="65"/>
    <col min="2817" max="2817" width="91.5703125" style="65" customWidth="1"/>
    <col min="2818" max="2818" width="15" style="65" customWidth="1"/>
    <col min="2819" max="2820" width="13.85546875" style="65" customWidth="1"/>
    <col min="2821" max="2821" width="14.140625" style="65" customWidth="1"/>
    <col min="2822" max="2822" width="11.140625" style="65" customWidth="1"/>
    <col min="2823" max="2823" width="12.42578125" style="65" bestFit="1" customWidth="1"/>
    <col min="2824" max="3072" width="9.140625" style="65"/>
    <col min="3073" max="3073" width="91.5703125" style="65" customWidth="1"/>
    <col min="3074" max="3074" width="15" style="65" customWidth="1"/>
    <col min="3075" max="3076" width="13.85546875" style="65" customWidth="1"/>
    <col min="3077" max="3077" width="14.140625" style="65" customWidth="1"/>
    <col min="3078" max="3078" width="11.140625" style="65" customWidth="1"/>
    <col min="3079" max="3079" width="12.42578125" style="65" bestFit="1" customWidth="1"/>
    <col min="3080" max="3328" width="9.140625" style="65"/>
    <col min="3329" max="3329" width="91.5703125" style="65" customWidth="1"/>
    <col min="3330" max="3330" width="15" style="65" customWidth="1"/>
    <col min="3331" max="3332" width="13.85546875" style="65" customWidth="1"/>
    <col min="3333" max="3333" width="14.140625" style="65" customWidth="1"/>
    <col min="3334" max="3334" width="11.140625" style="65" customWidth="1"/>
    <col min="3335" max="3335" width="12.42578125" style="65" bestFit="1" customWidth="1"/>
    <col min="3336" max="3584" width="9.140625" style="65"/>
    <col min="3585" max="3585" width="91.5703125" style="65" customWidth="1"/>
    <col min="3586" max="3586" width="15" style="65" customWidth="1"/>
    <col min="3587" max="3588" width="13.85546875" style="65" customWidth="1"/>
    <col min="3589" max="3589" width="14.140625" style="65" customWidth="1"/>
    <col min="3590" max="3590" width="11.140625" style="65" customWidth="1"/>
    <col min="3591" max="3591" width="12.42578125" style="65" bestFit="1" customWidth="1"/>
    <col min="3592" max="3840" width="9.140625" style="65"/>
    <col min="3841" max="3841" width="91.5703125" style="65" customWidth="1"/>
    <col min="3842" max="3842" width="15" style="65" customWidth="1"/>
    <col min="3843" max="3844" width="13.85546875" style="65" customWidth="1"/>
    <col min="3845" max="3845" width="14.140625" style="65" customWidth="1"/>
    <col min="3846" max="3846" width="11.140625" style="65" customWidth="1"/>
    <col min="3847" max="3847" width="12.42578125" style="65" bestFit="1" customWidth="1"/>
    <col min="3848" max="4096" width="9.140625" style="65"/>
    <col min="4097" max="4097" width="91.5703125" style="65" customWidth="1"/>
    <col min="4098" max="4098" width="15" style="65" customWidth="1"/>
    <col min="4099" max="4100" width="13.85546875" style="65" customWidth="1"/>
    <col min="4101" max="4101" width="14.140625" style="65" customWidth="1"/>
    <col min="4102" max="4102" width="11.140625" style="65" customWidth="1"/>
    <col min="4103" max="4103" width="12.42578125" style="65" bestFit="1" customWidth="1"/>
    <col min="4104" max="4352" width="9.140625" style="65"/>
    <col min="4353" max="4353" width="91.5703125" style="65" customWidth="1"/>
    <col min="4354" max="4354" width="15" style="65" customWidth="1"/>
    <col min="4355" max="4356" width="13.85546875" style="65" customWidth="1"/>
    <col min="4357" max="4357" width="14.140625" style="65" customWidth="1"/>
    <col min="4358" max="4358" width="11.140625" style="65" customWidth="1"/>
    <col min="4359" max="4359" width="12.42578125" style="65" bestFit="1" customWidth="1"/>
    <col min="4360" max="4608" width="9.140625" style="65"/>
    <col min="4609" max="4609" width="91.5703125" style="65" customWidth="1"/>
    <col min="4610" max="4610" width="15" style="65" customWidth="1"/>
    <col min="4611" max="4612" width="13.85546875" style="65" customWidth="1"/>
    <col min="4613" max="4613" width="14.140625" style="65" customWidth="1"/>
    <col min="4614" max="4614" width="11.140625" style="65" customWidth="1"/>
    <col min="4615" max="4615" width="12.42578125" style="65" bestFit="1" customWidth="1"/>
    <col min="4616" max="4864" width="9.140625" style="65"/>
    <col min="4865" max="4865" width="91.5703125" style="65" customWidth="1"/>
    <col min="4866" max="4866" width="15" style="65" customWidth="1"/>
    <col min="4867" max="4868" width="13.85546875" style="65" customWidth="1"/>
    <col min="4869" max="4869" width="14.140625" style="65" customWidth="1"/>
    <col min="4870" max="4870" width="11.140625" style="65" customWidth="1"/>
    <col min="4871" max="4871" width="12.42578125" style="65" bestFit="1" customWidth="1"/>
    <col min="4872" max="5120" width="9.140625" style="65"/>
    <col min="5121" max="5121" width="91.5703125" style="65" customWidth="1"/>
    <col min="5122" max="5122" width="15" style="65" customWidth="1"/>
    <col min="5123" max="5124" width="13.85546875" style="65" customWidth="1"/>
    <col min="5125" max="5125" width="14.140625" style="65" customWidth="1"/>
    <col min="5126" max="5126" width="11.140625" style="65" customWidth="1"/>
    <col min="5127" max="5127" width="12.42578125" style="65" bestFit="1" customWidth="1"/>
    <col min="5128" max="5376" width="9.140625" style="65"/>
    <col min="5377" max="5377" width="91.5703125" style="65" customWidth="1"/>
    <col min="5378" max="5378" width="15" style="65" customWidth="1"/>
    <col min="5379" max="5380" width="13.85546875" style="65" customWidth="1"/>
    <col min="5381" max="5381" width="14.140625" style="65" customWidth="1"/>
    <col min="5382" max="5382" width="11.140625" style="65" customWidth="1"/>
    <col min="5383" max="5383" width="12.42578125" style="65" bestFit="1" customWidth="1"/>
    <col min="5384" max="5632" width="9.140625" style="65"/>
    <col min="5633" max="5633" width="91.5703125" style="65" customWidth="1"/>
    <col min="5634" max="5634" width="15" style="65" customWidth="1"/>
    <col min="5635" max="5636" width="13.85546875" style="65" customWidth="1"/>
    <col min="5637" max="5637" width="14.140625" style="65" customWidth="1"/>
    <col min="5638" max="5638" width="11.140625" style="65" customWidth="1"/>
    <col min="5639" max="5639" width="12.42578125" style="65" bestFit="1" customWidth="1"/>
    <col min="5640" max="5888" width="9.140625" style="65"/>
    <col min="5889" max="5889" width="91.5703125" style="65" customWidth="1"/>
    <col min="5890" max="5890" width="15" style="65" customWidth="1"/>
    <col min="5891" max="5892" width="13.85546875" style="65" customWidth="1"/>
    <col min="5893" max="5893" width="14.140625" style="65" customWidth="1"/>
    <col min="5894" max="5894" width="11.140625" style="65" customWidth="1"/>
    <col min="5895" max="5895" width="12.42578125" style="65" bestFit="1" customWidth="1"/>
    <col min="5896" max="6144" width="9.140625" style="65"/>
    <col min="6145" max="6145" width="91.5703125" style="65" customWidth="1"/>
    <col min="6146" max="6146" width="15" style="65" customWidth="1"/>
    <col min="6147" max="6148" width="13.85546875" style="65" customWidth="1"/>
    <col min="6149" max="6149" width="14.140625" style="65" customWidth="1"/>
    <col min="6150" max="6150" width="11.140625" style="65" customWidth="1"/>
    <col min="6151" max="6151" width="12.42578125" style="65" bestFit="1" customWidth="1"/>
    <col min="6152" max="6400" width="9.140625" style="65"/>
    <col min="6401" max="6401" width="91.5703125" style="65" customWidth="1"/>
    <col min="6402" max="6402" width="15" style="65" customWidth="1"/>
    <col min="6403" max="6404" width="13.85546875" style="65" customWidth="1"/>
    <col min="6405" max="6405" width="14.140625" style="65" customWidth="1"/>
    <col min="6406" max="6406" width="11.140625" style="65" customWidth="1"/>
    <col min="6407" max="6407" width="12.42578125" style="65" bestFit="1" customWidth="1"/>
    <col min="6408" max="6656" width="9.140625" style="65"/>
    <col min="6657" max="6657" width="91.5703125" style="65" customWidth="1"/>
    <col min="6658" max="6658" width="15" style="65" customWidth="1"/>
    <col min="6659" max="6660" width="13.85546875" style="65" customWidth="1"/>
    <col min="6661" max="6661" width="14.140625" style="65" customWidth="1"/>
    <col min="6662" max="6662" width="11.140625" style="65" customWidth="1"/>
    <col min="6663" max="6663" width="12.42578125" style="65" bestFit="1" customWidth="1"/>
    <col min="6664" max="6912" width="9.140625" style="65"/>
    <col min="6913" max="6913" width="91.5703125" style="65" customWidth="1"/>
    <col min="6914" max="6914" width="15" style="65" customWidth="1"/>
    <col min="6915" max="6916" width="13.85546875" style="65" customWidth="1"/>
    <col min="6917" max="6917" width="14.140625" style="65" customWidth="1"/>
    <col min="6918" max="6918" width="11.140625" style="65" customWidth="1"/>
    <col min="6919" max="6919" width="12.42578125" style="65" bestFit="1" customWidth="1"/>
    <col min="6920" max="7168" width="9.140625" style="65"/>
    <col min="7169" max="7169" width="91.5703125" style="65" customWidth="1"/>
    <col min="7170" max="7170" width="15" style="65" customWidth="1"/>
    <col min="7171" max="7172" width="13.85546875" style="65" customWidth="1"/>
    <col min="7173" max="7173" width="14.140625" style="65" customWidth="1"/>
    <col min="7174" max="7174" width="11.140625" style="65" customWidth="1"/>
    <col min="7175" max="7175" width="12.42578125" style="65" bestFit="1" customWidth="1"/>
    <col min="7176" max="7424" width="9.140625" style="65"/>
    <col min="7425" max="7425" width="91.5703125" style="65" customWidth="1"/>
    <col min="7426" max="7426" width="15" style="65" customWidth="1"/>
    <col min="7427" max="7428" width="13.85546875" style="65" customWidth="1"/>
    <col min="7429" max="7429" width="14.140625" style="65" customWidth="1"/>
    <col min="7430" max="7430" width="11.140625" style="65" customWidth="1"/>
    <col min="7431" max="7431" width="12.42578125" style="65" bestFit="1" customWidth="1"/>
    <col min="7432" max="7680" width="9.140625" style="65"/>
    <col min="7681" max="7681" width="91.5703125" style="65" customWidth="1"/>
    <col min="7682" max="7682" width="15" style="65" customWidth="1"/>
    <col min="7683" max="7684" width="13.85546875" style="65" customWidth="1"/>
    <col min="7685" max="7685" width="14.140625" style="65" customWidth="1"/>
    <col min="7686" max="7686" width="11.140625" style="65" customWidth="1"/>
    <col min="7687" max="7687" width="12.42578125" style="65" bestFit="1" customWidth="1"/>
    <col min="7688" max="7936" width="9.140625" style="65"/>
    <col min="7937" max="7937" width="91.5703125" style="65" customWidth="1"/>
    <col min="7938" max="7938" width="15" style="65" customWidth="1"/>
    <col min="7939" max="7940" width="13.85546875" style="65" customWidth="1"/>
    <col min="7941" max="7941" width="14.140625" style="65" customWidth="1"/>
    <col min="7942" max="7942" width="11.140625" style="65" customWidth="1"/>
    <col min="7943" max="7943" width="12.42578125" style="65" bestFit="1" customWidth="1"/>
    <col min="7944" max="8192" width="9.140625" style="65"/>
    <col min="8193" max="8193" width="91.5703125" style="65" customWidth="1"/>
    <col min="8194" max="8194" width="15" style="65" customWidth="1"/>
    <col min="8195" max="8196" width="13.85546875" style="65" customWidth="1"/>
    <col min="8197" max="8197" width="14.140625" style="65" customWidth="1"/>
    <col min="8198" max="8198" width="11.140625" style="65" customWidth="1"/>
    <col min="8199" max="8199" width="12.42578125" style="65" bestFit="1" customWidth="1"/>
    <col min="8200" max="8448" width="9.140625" style="65"/>
    <col min="8449" max="8449" width="91.5703125" style="65" customWidth="1"/>
    <col min="8450" max="8450" width="15" style="65" customWidth="1"/>
    <col min="8451" max="8452" width="13.85546875" style="65" customWidth="1"/>
    <col min="8453" max="8453" width="14.140625" style="65" customWidth="1"/>
    <col min="8454" max="8454" width="11.140625" style="65" customWidth="1"/>
    <col min="8455" max="8455" width="12.42578125" style="65" bestFit="1" customWidth="1"/>
    <col min="8456" max="8704" width="9.140625" style="65"/>
    <col min="8705" max="8705" width="91.5703125" style="65" customWidth="1"/>
    <col min="8706" max="8706" width="15" style="65" customWidth="1"/>
    <col min="8707" max="8708" width="13.85546875" style="65" customWidth="1"/>
    <col min="8709" max="8709" width="14.140625" style="65" customWidth="1"/>
    <col min="8710" max="8710" width="11.140625" style="65" customWidth="1"/>
    <col min="8711" max="8711" width="12.42578125" style="65" bestFit="1" customWidth="1"/>
    <col min="8712" max="8960" width="9.140625" style="65"/>
    <col min="8961" max="8961" width="91.5703125" style="65" customWidth="1"/>
    <col min="8962" max="8962" width="15" style="65" customWidth="1"/>
    <col min="8963" max="8964" width="13.85546875" style="65" customWidth="1"/>
    <col min="8965" max="8965" width="14.140625" style="65" customWidth="1"/>
    <col min="8966" max="8966" width="11.140625" style="65" customWidth="1"/>
    <col min="8967" max="8967" width="12.42578125" style="65" bestFit="1" customWidth="1"/>
    <col min="8968" max="9216" width="9.140625" style="65"/>
    <col min="9217" max="9217" width="91.5703125" style="65" customWidth="1"/>
    <col min="9218" max="9218" width="15" style="65" customWidth="1"/>
    <col min="9219" max="9220" width="13.85546875" style="65" customWidth="1"/>
    <col min="9221" max="9221" width="14.140625" style="65" customWidth="1"/>
    <col min="9222" max="9222" width="11.140625" style="65" customWidth="1"/>
    <col min="9223" max="9223" width="12.42578125" style="65" bestFit="1" customWidth="1"/>
    <col min="9224" max="9472" width="9.140625" style="65"/>
    <col min="9473" max="9473" width="91.5703125" style="65" customWidth="1"/>
    <col min="9474" max="9474" width="15" style="65" customWidth="1"/>
    <col min="9475" max="9476" width="13.85546875" style="65" customWidth="1"/>
    <col min="9477" max="9477" width="14.140625" style="65" customWidth="1"/>
    <col min="9478" max="9478" width="11.140625" style="65" customWidth="1"/>
    <col min="9479" max="9479" width="12.42578125" style="65" bestFit="1" customWidth="1"/>
    <col min="9480" max="9728" width="9.140625" style="65"/>
    <col min="9729" max="9729" width="91.5703125" style="65" customWidth="1"/>
    <col min="9730" max="9730" width="15" style="65" customWidth="1"/>
    <col min="9731" max="9732" width="13.85546875" style="65" customWidth="1"/>
    <col min="9733" max="9733" width="14.140625" style="65" customWidth="1"/>
    <col min="9734" max="9734" width="11.140625" style="65" customWidth="1"/>
    <col min="9735" max="9735" width="12.42578125" style="65" bestFit="1" customWidth="1"/>
    <col min="9736" max="9984" width="9.140625" style="65"/>
    <col min="9985" max="9985" width="91.5703125" style="65" customWidth="1"/>
    <col min="9986" max="9986" width="15" style="65" customWidth="1"/>
    <col min="9987" max="9988" width="13.85546875" style="65" customWidth="1"/>
    <col min="9989" max="9989" width="14.140625" style="65" customWidth="1"/>
    <col min="9990" max="9990" width="11.140625" style="65" customWidth="1"/>
    <col min="9991" max="9991" width="12.42578125" style="65" bestFit="1" customWidth="1"/>
    <col min="9992" max="10240" width="9.140625" style="65"/>
    <col min="10241" max="10241" width="91.5703125" style="65" customWidth="1"/>
    <col min="10242" max="10242" width="15" style="65" customWidth="1"/>
    <col min="10243" max="10244" width="13.85546875" style="65" customWidth="1"/>
    <col min="10245" max="10245" width="14.140625" style="65" customWidth="1"/>
    <col min="10246" max="10246" width="11.140625" style="65" customWidth="1"/>
    <col min="10247" max="10247" width="12.42578125" style="65" bestFit="1" customWidth="1"/>
    <col min="10248" max="10496" width="9.140625" style="65"/>
    <col min="10497" max="10497" width="91.5703125" style="65" customWidth="1"/>
    <col min="10498" max="10498" width="15" style="65" customWidth="1"/>
    <col min="10499" max="10500" width="13.85546875" style="65" customWidth="1"/>
    <col min="10501" max="10501" width="14.140625" style="65" customWidth="1"/>
    <col min="10502" max="10502" width="11.140625" style="65" customWidth="1"/>
    <col min="10503" max="10503" width="12.42578125" style="65" bestFit="1" customWidth="1"/>
    <col min="10504" max="10752" width="9.140625" style="65"/>
    <col min="10753" max="10753" width="91.5703125" style="65" customWidth="1"/>
    <col min="10754" max="10754" width="15" style="65" customWidth="1"/>
    <col min="10755" max="10756" width="13.85546875" style="65" customWidth="1"/>
    <col min="10757" max="10757" width="14.140625" style="65" customWidth="1"/>
    <col min="10758" max="10758" width="11.140625" style="65" customWidth="1"/>
    <col min="10759" max="10759" width="12.42578125" style="65" bestFit="1" customWidth="1"/>
    <col min="10760" max="11008" width="9.140625" style="65"/>
    <col min="11009" max="11009" width="91.5703125" style="65" customWidth="1"/>
    <col min="11010" max="11010" width="15" style="65" customWidth="1"/>
    <col min="11011" max="11012" width="13.85546875" style="65" customWidth="1"/>
    <col min="11013" max="11013" width="14.140625" style="65" customWidth="1"/>
    <col min="11014" max="11014" width="11.140625" style="65" customWidth="1"/>
    <col min="11015" max="11015" width="12.42578125" style="65" bestFit="1" customWidth="1"/>
    <col min="11016" max="11264" width="9.140625" style="65"/>
    <col min="11265" max="11265" width="91.5703125" style="65" customWidth="1"/>
    <col min="11266" max="11266" width="15" style="65" customWidth="1"/>
    <col min="11267" max="11268" width="13.85546875" style="65" customWidth="1"/>
    <col min="11269" max="11269" width="14.140625" style="65" customWidth="1"/>
    <col min="11270" max="11270" width="11.140625" style="65" customWidth="1"/>
    <col min="11271" max="11271" width="12.42578125" style="65" bestFit="1" customWidth="1"/>
    <col min="11272" max="11520" width="9.140625" style="65"/>
    <col min="11521" max="11521" width="91.5703125" style="65" customWidth="1"/>
    <col min="11522" max="11522" width="15" style="65" customWidth="1"/>
    <col min="11523" max="11524" width="13.85546875" style="65" customWidth="1"/>
    <col min="11525" max="11525" width="14.140625" style="65" customWidth="1"/>
    <col min="11526" max="11526" width="11.140625" style="65" customWidth="1"/>
    <col min="11527" max="11527" width="12.42578125" style="65" bestFit="1" customWidth="1"/>
    <col min="11528" max="11776" width="9.140625" style="65"/>
    <col min="11777" max="11777" width="91.5703125" style="65" customWidth="1"/>
    <col min="11778" max="11778" width="15" style="65" customWidth="1"/>
    <col min="11779" max="11780" width="13.85546875" style="65" customWidth="1"/>
    <col min="11781" max="11781" width="14.140625" style="65" customWidth="1"/>
    <col min="11782" max="11782" width="11.140625" style="65" customWidth="1"/>
    <col min="11783" max="11783" width="12.42578125" style="65" bestFit="1" customWidth="1"/>
    <col min="11784" max="12032" width="9.140625" style="65"/>
    <col min="12033" max="12033" width="91.5703125" style="65" customWidth="1"/>
    <col min="12034" max="12034" width="15" style="65" customWidth="1"/>
    <col min="12035" max="12036" width="13.85546875" style="65" customWidth="1"/>
    <col min="12037" max="12037" width="14.140625" style="65" customWidth="1"/>
    <col min="12038" max="12038" width="11.140625" style="65" customWidth="1"/>
    <col min="12039" max="12039" width="12.42578125" style="65" bestFit="1" customWidth="1"/>
    <col min="12040" max="12288" width="9.140625" style="65"/>
    <col min="12289" max="12289" width="91.5703125" style="65" customWidth="1"/>
    <col min="12290" max="12290" width="15" style="65" customWidth="1"/>
    <col min="12291" max="12292" width="13.85546875" style="65" customWidth="1"/>
    <col min="12293" max="12293" width="14.140625" style="65" customWidth="1"/>
    <col min="12294" max="12294" width="11.140625" style="65" customWidth="1"/>
    <col min="12295" max="12295" width="12.42578125" style="65" bestFit="1" customWidth="1"/>
    <col min="12296" max="12544" width="9.140625" style="65"/>
    <col min="12545" max="12545" width="91.5703125" style="65" customWidth="1"/>
    <col min="12546" max="12546" width="15" style="65" customWidth="1"/>
    <col min="12547" max="12548" width="13.85546875" style="65" customWidth="1"/>
    <col min="12549" max="12549" width="14.140625" style="65" customWidth="1"/>
    <col min="12550" max="12550" width="11.140625" style="65" customWidth="1"/>
    <col min="12551" max="12551" width="12.42578125" style="65" bestFit="1" customWidth="1"/>
    <col min="12552" max="12800" width="9.140625" style="65"/>
    <col min="12801" max="12801" width="91.5703125" style="65" customWidth="1"/>
    <col min="12802" max="12802" width="15" style="65" customWidth="1"/>
    <col min="12803" max="12804" width="13.85546875" style="65" customWidth="1"/>
    <col min="12805" max="12805" width="14.140625" style="65" customWidth="1"/>
    <col min="12806" max="12806" width="11.140625" style="65" customWidth="1"/>
    <col min="12807" max="12807" width="12.42578125" style="65" bestFit="1" customWidth="1"/>
    <col min="12808" max="13056" width="9.140625" style="65"/>
    <col min="13057" max="13057" width="91.5703125" style="65" customWidth="1"/>
    <col min="13058" max="13058" width="15" style="65" customWidth="1"/>
    <col min="13059" max="13060" width="13.85546875" style="65" customWidth="1"/>
    <col min="13061" max="13061" width="14.140625" style="65" customWidth="1"/>
    <col min="13062" max="13062" width="11.140625" style="65" customWidth="1"/>
    <col min="13063" max="13063" width="12.42578125" style="65" bestFit="1" customWidth="1"/>
    <col min="13064" max="13312" width="9.140625" style="65"/>
    <col min="13313" max="13313" width="91.5703125" style="65" customWidth="1"/>
    <col min="13314" max="13314" width="15" style="65" customWidth="1"/>
    <col min="13315" max="13316" width="13.85546875" style="65" customWidth="1"/>
    <col min="13317" max="13317" width="14.140625" style="65" customWidth="1"/>
    <col min="13318" max="13318" width="11.140625" style="65" customWidth="1"/>
    <col min="13319" max="13319" width="12.42578125" style="65" bestFit="1" customWidth="1"/>
    <col min="13320" max="13568" width="9.140625" style="65"/>
    <col min="13569" max="13569" width="91.5703125" style="65" customWidth="1"/>
    <col min="13570" max="13570" width="15" style="65" customWidth="1"/>
    <col min="13571" max="13572" width="13.85546875" style="65" customWidth="1"/>
    <col min="13573" max="13573" width="14.140625" style="65" customWidth="1"/>
    <col min="13574" max="13574" width="11.140625" style="65" customWidth="1"/>
    <col min="13575" max="13575" width="12.42578125" style="65" bestFit="1" customWidth="1"/>
    <col min="13576" max="13824" width="9.140625" style="65"/>
    <col min="13825" max="13825" width="91.5703125" style="65" customWidth="1"/>
    <col min="13826" max="13826" width="15" style="65" customWidth="1"/>
    <col min="13827" max="13828" width="13.85546875" style="65" customWidth="1"/>
    <col min="13829" max="13829" width="14.140625" style="65" customWidth="1"/>
    <col min="13830" max="13830" width="11.140625" style="65" customWidth="1"/>
    <col min="13831" max="13831" width="12.42578125" style="65" bestFit="1" customWidth="1"/>
    <col min="13832" max="14080" width="9.140625" style="65"/>
    <col min="14081" max="14081" width="91.5703125" style="65" customWidth="1"/>
    <col min="14082" max="14082" width="15" style="65" customWidth="1"/>
    <col min="14083" max="14084" width="13.85546875" style="65" customWidth="1"/>
    <col min="14085" max="14085" width="14.140625" style="65" customWidth="1"/>
    <col min="14086" max="14086" width="11.140625" style="65" customWidth="1"/>
    <col min="14087" max="14087" width="12.42578125" style="65" bestFit="1" customWidth="1"/>
    <col min="14088" max="14336" width="9.140625" style="65"/>
    <col min="14337" max="14337" width="91.5703125" style="65" customWidth="1"/>
    <col min="14338" max="14338" width="15" style="65" customWidth="1"/>
    <col min="14339" max="14340" width="13.85546875" style="65" customWidth="1"/>
    <col min="14341" max="14341" width="14.140625" style="65" customWidth="1"/>
    <col min="14342" max="14342" width="11.140625" style="65" customWidth="1"/>
    <col min="14343" max="14343" width="12.42578125" style="65" bestFit="1" customWidth="1"/>
    <col min="14344" max="14592" width="9.140625" style="65"/>
    <col min="14593" max="14593" width="91.5703125" style="65" customWidth="1"/>
    <col min="14594" max="14594" width="15" style="65" customWidth="1"/>
    <col min="14595" max="14596" width="13.85546875" style="65" customWidth="1"/>
    <col min="14597" max="14597" width="14.140625" style="65" customWidth="1"/>
    <col min="14598" max="14598" width="11.140625" style="65" customWidth="1"/>
    <col min="14599" max="14599" width="12.42578125" style="65" bestFit="1" customWidth="1"/>
    <col min="14600" max="14848" width="9.140625" style="65"/>
    <col min="14849" max="14849" width="91.5703125" style="65" customWidth="1"/>
    <col min="14850" max="14850" width="15" style="65" customWidth="1"/>
    <col min="14851" max="14852" width="13.85546875" style="65" customWidth="1"/>
    <col min="14853" max="14853" width="14.140625" style="65" customWidth="1"/>
    <col min="14854" max="14854" width="11.140625" style="65" customWidth="1"/>
    <col min="14855" max="14855" width="12.42578125" style="65" bestFit="1" customWidth="1"/>
    <col min="14856" max="15104" width="9.140625" style="65"/>
    <col min="15105" max="15105" width="91.5703125" style="65" customWidth="1"/>
    <col min="15106" max="15106" width="15" style="65" customWidth="1"/>
    <col min="15107" max="15108" width="13.85546875" style="65" customWidth="1"/>
    <col min="15109" max="15109" width="14.140625" style="65" customWidth="1"/>
    <col min="15110" max="15110" width="11.140625" style="65" customWidth="1"/>
    <col min="15111" max="15111" width="12.42578125" style="65" bestFit="1" customWidth="1"/>
    <col min="15112" max="15360" width="9.140625" style="65"/>
    <col min="15361" max="15361" width="91.5703125" style="65" customWidth="1"/>
    <col min="15362" max="15362" width="15" style="65" customWidth="1"/>
    <col min="15363" max="15364" width="13.85546875" style="65" customWidth="1"/>
    <col min="15365" max="15365" width="14.140625" style="65" customWidth="1"/>
    <col min="15366" max="15366" width="11.140625" style="65" customWidth="1"/>
    <col min="15367" max="15367" width="12.42578125" style="65" bestFit="1" customWidth="1"/>
    <col min="15368" max="15616" width="9.140625" style="65"/>
    <col min="15617" max="15617" width="91.5703125" style="65" customWidth="1"/>
    <col min="15618" max="15618" width="15" style="65" customWidth="1"/>
    <col min="15619" max="15620" width="13.85546875" style="65" customWidth="1"/>
    <col min="15621" max="15621" width="14.140625" style="65" customWidth="1"/>
    <col min="15622" max="15622" width="11.140625" style="65" customWidth="1"/>
    <col min="15623" max="15623" width="12.42578125" style="65" bestFit="1" customWidth="1"/>
    <col min="15624" max="15872" width="9.140625" style="65"/>
    <col min="15873" max="15873" width="91.5703125" style="65" customWidth="1"/>
    <col min="15874" max="15874" width="15" style="65" customWidth="1"/>
    <col min="15875" max="15876" width="13.85546875" style="65" customWidth="1"/>
    <col min="15877" max="15877" width="14.140625" style="65" customWidth="1"/>
    <col min="15878" max="15878" width="11.140625" style="65" customWidth="1"/>
    <col min="15879" max="15879" width="12.42578125" style="65" bestFit="1" customWidth="1"/>
    <col min="15880" max="16128" width="9.140625" style="65"/>
    <col min="16129" max="16129" width="91.5703125" style="65" customWidth="1"/>
    <col min="16130" max="16130" width="15" style="65" customWidth="1"/>
    <col min="16131" max="16132" width="13.85546875" style="65" customWidth="1"/>
    <col min="16133" max="16133" width="14.140625" style="65" customWidth="1"/>
    <col min="16134" max="16134" width="11.140625" style="65" customWidth="1"/>
    <col min="16135" max="16135" width="12.42578125" style="65" bestFit="1" customWidth="1"/>
    <col min="16136" max="16384" width="9.140625" style="65"/>
  </cols>
  <sheetData>
    <row r="1" spans="1:4" ht="16.5" customHeight="1" x14ac:dyDescent="0.25">
      <c r="A1" s="196" t="s">
        <v>0</v>
      </c>
      <c r="B1" s="196"/>
    </row>
    <row r="2" spans="1:4" ht="16.5" x14ac:dyDescent="0.25">
      <c r="A2" s="198" t="s">
        <v>1</v>
      </c>
      <c r="B2" s="198"/>
    </row>
    <row r="3" spans="1:4" ht="16.5" x14ac:dyDescent="0.25">
      <c r="A3" s="198" t="s">
        <v>2</v>
      </c>
      <c r="B3" s="198"/>
    </row>
    <row r="4" spans="1:4" x14ac:dyDescent="0.25">
      <c r="A4" s="69" t="s">
        <v>97</v>
      </c>
      <c r="B4" s="69"/>
    </row>
    <row r="5" spans="1:4" x14ac:dyDescent="0.25">
      <c r="A5" s="69" t="s">
        <v>193</v>
      </c>
      <c r="B5" s="69"/>
    </row>
    <row r="6" spans="1:4" x14ac:dyDescent="0.25">
      <c r="A6" s="69"/>
      <c r="C6" s="3"/>
    </row>
    <row r="7" spans="1:4" ht="16.5" thickBot="1" x14ac:dyDescent="0.3">
      <c r="A7" s="168"/>
      <c r="C7" s="3"/>
    </row>
    <row r="8" spans="1:4" x14ac:dyDescent="0.25">
      <c r="A8" s="210" t="s">
        <v>4</v>
      </c>
      <c r="B8" s="205" t="s">
        <v>5</v>
      </c>
      <c r="C8" s="207" t="s">
        <v>6</v>
      </c>
      <c r="D8" s="207" t="s">
        <v>7</v>
      </c>
    </row>
    <row r="9" spans="1:4" ht="16.5" thickBot="1" x14ac:dyDescent="0.3">
      <c r="A9" s="211"/>
      <c r="B9" s="206"/>
      <c r="C9" s="208"/>
      <c r="D9" s="208"/>
    </row>
    <row r="10" spans="1:4" ht="16.5" thickBot="1" x14ac:dyDescent="0.3">
      <c r="A10" s="70" t="s">
        <v>8</v>
      </c>
      <c r="B10" s="188">
        <v>-8325.5548535088492</v>
      </c>
      <c r="C10" s="72"/>
      <c r="D10" s="72"/>
    </row>
    <row r="11" spans="1:4" ht="16.5" hidden="1" thickBot="1" x14ac:dyDescent="0.3">
      <c r="A11" s="73" t="s">
        <v>9</v>
      </c>
      <c r="B11" s="176"/>
      <c r="C11" s="74"/>
      <c r="D11" s="74"/>
    </row>
    <row r="12" spans="1:4" x14ac:dyDescent="0.25">
      <c r="A12" s="75" t="s">
        <v>10</v>
      </c>
      <c r="B12" s="177"/>
      <c r="C12" s="77" t="s">
        <v>11</v>
      </c>
      <c r="D12" s="133" t="s">
        <v>11</v>
      </c>
    </row>
    <row r="13" spans="1:4" hidden="1" x14ac:dyDescent="0.25">
      <c r="A13" s="78" t="s">
        <v>12</v>
      </c>
      <c r="B13" s="17">
        <v>172.7</v>
      </c>
      <c r="C13" s="82" t="s">
        <v>11</v>
      </c>
      <c r="D13" s="79" t="s">
        <v>11</v>
      </c>
    </row>
    <row r="14" spans="1:4" hidden="1" x14ac:dyDescent="0.25">
      <c r="A14" s="78" t="s">
        <v>13</v>
      </c>
      <c r="B14" s="17">
        <v>0</v>
      </c>
      <c r="C14" s="82"/>
      <c r="D14" s="79"/>
    </row>
    <row r="15" spans="1:4" hidden="1" x14ac:dyDescent="0.25">
      <c r="A15" s="78" t="s">
        <v>14</v>
      </c>
      <c r="B15" s="17">
        <f>B13+B14</f>
        <v>172.7</v>
      </c>
      <c r="C15" s="82"/>
      <c r="D15" s="79"/>
    </row>
    <row r="16" spans="1:4" hidden="1" x14ac:dyDescent="0.25">
      <c r="A16" s="78" t="s">
        <v>15</v>
      </c>
      <c r="B16" s="17">
        <v>0</v>
      </c>
      <c r="C16" s="82" t="s">
        <v>11</v>
      </c>
      <c r="D16" s="79" t="s">
        <v>11</v>
      </c>
    </row>
    <row r="17" spans="1:7" hidden="1" x14ac:dyDescent="0.25">
      <c r="A17" s="78" t="s">
        <v>16</v>
      </c>
      <c r="B17" s="17">
        <v>0</v>
      </c>
      <c r="C17" s="82" t="s">
        <v>11</v>
      </c>
      <c r="D17" s="79" t="s">
        <v>11</v>
      </c>
    </row>
    <row r="18" spans="1:7" hidden="1" x14ac:dyDescent="0.25">
      <c r="A18" s="78" t="s">
        <v>17</v>
      </c>
      <c r="B18" s="17">
        <v>0</v>
      </c>
      <c r="C18" s="82" t="s">
        <v>11</v>
      </c>
      <c r="D18" s="79" t="s">
        <v>11</v>
      </c>
    </row>
    <row r="19" spans="1:7" hidden="1" x14ac:dyDescent="0.25">
      <c r="A19" s="78" t="s">
        <v>18</v>
      </c>
      <c r="B19" s="17">
        <v>0</v>
      </c>
      <c r="C19" s="82" t="s">
        <v>11</v>
      </c>
      <c r="D19" s="79" t="s">
        <v>11</v>
      </c>
    </row>
    <row r="20" spans="1:7" hidden="1" x14ac:dyDescent="0.25">
      <c r="A20" s="78" t="s">
        <v>19</v>
      </c>
      <c r="B20" s="17">
        <v>251</v>
      </c>
      <c r="C20" s="82"/>
      <c r="D20" s="79"/>
    </row>
    <row r="21" spans="1:7" hidden="1" x14ac:dyDescent="0.25">
      <c r="A21" s="78" t="s">
        <v>20</v>
      </c>
      <c r="B21" s="17">
        <v>0</v>
      </c>
      <c r="C21" s="82" t="s">
        <v>11</v>
      </c>
      <c r="D21" s="79" t="s">
        <v>11</v>
      </c>
    </row>
    <row r="22" spans="1:7" hidden="1" x14ac:dyDescent="0.25">
      <c r="A22" s="78" t="s">
        <v>21</v>
      </c>
      <c r="B22" s="17">
        <v>7</v>
      </c>
      <c r="C22" s="82"/>
      <c r="D22" s="79"/>
    </row>
    <row r="23" spans="1:7" x14ac:dyDescent="0.25">
      <c r="A23" s="78"/>
      <c r="B23" s="17"/>
      <c r="C23" s="82"/>
      <c r="D23" s="79"/>
      <c r="E23" s="65">
        <v>10</v>
      </c>
      <c r="F23" s="65">
        <v>2</v>
      </c>
    </row>
    <row r="24" spans="1:7" x14ac:dyDescent="0.25">
      <c r="A24" s="87" t="s">
        <v>153</v>
      </c>
      <c r="B24" s="24">
        <f>VLOOKUP(A5,Лист11!K:M,2,FALSE)</f>
        <v>16910.759999999998</v>
      </c>
      <c r="C24" s="82"/>
      <c r="D24" s="79"/>
      <c r="E24" s="67">
        <v>14.909999942000001</v>
      </c>
      <c r="F24" s="68">
        <v>16.6902539350748</v>
      </c>
    </row>
    <row r="25" spans="1:7" x14ac:dyDescent="0.25">
      <c r="A25" s="87" t="s">
        <v>154</v>
      </c>
      <c r="B25" s="24">
        <f>VLOOKUP(A5,Лист11!K:M,3,FALSE)</f>
        <v>16807.14</v>
      </c>
      <c r="C25" s="82"/>
      <c r="D25" s="79"/>
    </row>
    <row r="26" spans="1:7" hidden="1" x14ac:dyDescent="0.25">
      <c r="A26" s="87" t="s">
        <v>160</v>
      </c>
      <c r="B26" s="24"/>
      <c r="C26" s="82"/>
      <c r="D26" s="79"/>
    </row>
    <row r="27" spans="1:7" hidden="1" x14ac:dyDescent="0.25">
      <c r="A27" s="87" t="s">
        <v>91</v>
      </c>
      <c r="B27" s="24">
        <f>B26</f>
        <v>0</v>
      </c>
      <c r="C27" s="82"/>
      <c r="D27" s="79"/>
    </row>
    <row r="28" spans="1:7" hidden="1" x14ac:dyDescent="0.25">
      <c r="A28" s="87" t="s">
        <v>189</v>
      </c>
      <c r="B28" s="24"/>
      <c r="C28" s="82"/>
      <c r="D28" s="79"/>
      <c r="E28" s="65">
        <v>2.8</v>
      </c>
    </row>
    <row r="29" spans="1:7" hidden="1" x14ac:dyDescent="0.25">
      <c r="A29" s="87" t="s">
        <v>26</v>
      </c>
      <c r="B29" s="17"/>
      <c r="C29" s="82"/>
      <c r="D29" s="79"/>
    </row>
    <row r="30" spans="1:7" x14ac:dyDescent="0.25">
      <c r="A30" s="89"/>
      <c r="B30" s="17"/>
      <c r="C30" s="82"/>
      <c r="D30" s="79"/>
    </row>
    <row r="31" spans="1:7" x14ac:dyDescent="0.25">
      <c r="A31" s="90" t="s">
        <v>27</v>
      </c>
      <c r="B31" s="17"/>
      <c r="C31" s="82"/>
      <c r="D31" s="79"/>
    </row>
    <row r="32" spans="1:7" s="141" customFormat="1" ht="31.5" x14ac:dyDescent="0.25">
      <c r="A32" s="91" t="s">
        <v>28</v>
      </c>
      <c r="B32" s="24">
        <f>SUM(B33:B41)</f>
        <v>8000</v>
      </c>
      <c r="C32" s="82"/>
      <c r="D32" s="79"/>
      <c r="E32" s="140">
        <f>(B24-B86)/1.2/1.03</f>
        <v>-7719.1159862234317</v>
      </c>
      <c r="F32" s="140" t="e">
        <f>(#REF!-#REF!)/1.2/1.03</f>
        <v>#REF!</v>
      </c>
      <c r="G32" s="140" t="e">
        <f>(#REF!-#REF!)/1.2/1.03</f>
        <v>#REF!</v>
      </c>
    </row>
    <row r="33" spans="1:7" x14ac:dyDescent="0.25">
      <c r="A33" s="33" t="s">
        <v>29</v>
      </c>
      <c r="B33" s="17">
        <v>8000</v>
      </c>
      <c r="C33" s="82"/>
      <c r="D33" s="79">
        <v>0</v>
      </c>
    </row>
    <row r="34" spans="1:7" hidden="1" x14ac:dyDescent="0.25">
      <c r="A34" s="33" t="s">
        <v>36</v>
      </c>
      <c r="B34" s="17"/>
      <c r="C34" s="82"/>
      <c r="D34" s="79">
        <v>0</v>
      </c>
    </row>
    <row r="35" spans="1:7" hidden="1" x14ac:dyDescent="0.25">
      <c r="A35" s="33" t="s">
        <v>190</v>
      </c>
      <c r="B35" s="17">
        <v>0</v>
      </c>
      <c r="C35" s="82"/>
      <c r="D35" s="79">
        <v>0</v>
      </c>
    </row>
    <row r="36" spans="1:7" hidden="1" x14ac:dyDescent="0.25">
      <c r="A36" s="33" t="s">
        <v>155</v>
      </c>
      <c r="B36" s="17">
        <v>0</v>
      </c>
      <c r="C36" s="82" t="s">
        <v>11</v>
      </c>
      <c r="D36" s="79">
        <v>0</v>
      </c>
    </row>
    <row r="37" spans="1:7" hidden="1" x14ac:dyDescent="0.25">
      <c r="A37" s="33" t="s">
        <v>191</v>
      </c>
      <c r="B37" s="17">
        <v>0</v>
      </c>
      <c r="C37" s="82"/>
      <c r="D37" s="79">
        <v>0</v>
      </c>
    </row>
    <row r="38" spans="1:7" hidden="1" x14ac:dyDescent="0.25">
      <c r="A38" s="33" t="s">
        <v>34</v>
      </c>
      <c r="B38" s="17">
        <v>0</v>
      </c>
      <c r="C38" s="82"/>
      <c r="D38" s="79">
        <v>0</v>
      </c>
    </row>
    <row r="39" spans="1:7" hidden="1" x14ac:dyDescent="0.25">
      <c r="A39" s="33" t="s">
        <v>162</v>
      </c>
      <c r="B39" s="17">
        <v>0</v>
      </c>
      <c r="C39" s="82"/>
      <c r="D39" s="79">
        <v>0</v>
      </c>
    </row>
    <row r="40" spans="1:7" hidden="1" x14ac:dyDescent="0.25">
      <c r="A40" s="33" t="s">
        <v>92</v>
      </c>
      <c r="B40" s="17">
        <v>0</v>
      </c>
      <c r="C40" s="82"/>
      <c r="D40" s="79"/>
    </row>
    <row r="41" spans="1:7" hidden="1" x14ac:dyDescent="0.25">
      <c r="A41" s="33" t="s">
        <v>108</v>
      </c>
      <c r="B41" s="17">
        <v>0</v>
      </c>
      <c r="C41" s="82"/>
      <c r="D41" s="79"/>
    </row>
    <row r="42" spans="1:7" s="141" customFormat="1" ht="47.25" x14ac:dyDescent="0.25">
      <c r="A42" s="91" t="s">
        <v>102</v>
      </c>
      <c r="B42" s="24">
        <f>SUM(B43:B45)</f>
        <v>903.13308051992078</v>
      </c>
      <c r="C42" s="82"/>
      <c r="D42" s="79"/>
      <c r="E42" s="140"/>
      <c r="F42" s="140"/>
      <c r="G42" s="140"/>
    </row>
    <row r="43" spans="1:7" hidden="1" x14ac:dyDescent="0.25">
      <c r="A43" s="33" t="s">
        <v>38</v>
      </c>
      <c r="B43" s="17"/>
      <c r="C43" s="80"/>
      <c r="D43" s="92"/>
    </row>
    <row r="44" spans="1:7" hidden="1" x14ac:dyDescent="0.25">
      <c r="A44" s="33" t="s">
        <v>39</v>
      </c>
      <c r="B44" s="17">
        <v>0</v>
      </c>
      <c r="C44" s="80"/>
      <c r="D44" s="92"/>
    </row>
    <row r="45" spans="1:7" x14ac:dyDescent="0.25">
      <c r="A45" s="44" t="s">
        <v>40</v>
      </c>
      <c r="B45" s="17">
        <f>'[1]63тарифы'!D163*B13*0.9*1.0952</f>
        <v>903.13308051992078</v>
      </c>
      <c r="C45" s="80"/>
      <c r="D45" s="92"/>
    </row>
    <row r="46" spans="1:7" s="3" customFormat="1" x14ac:dyDescent="0.25">
      <c r="A46" s="91" t="s">
        <v>41</v>
      </c>
      <c r="B46" s="24">
        <f>SUM(B47:B65)</f>
        <v>710.28</v>
      </c>
      <c r="C46" s="82"/>
      <c r="D46" s="79"/>
    </row>
    <row r="47" spans="1:7" hidden="1" x14ac:dyDescent="0.25">
      <c r="A47" s="33" t="s">
        <v>180</v>
      </c>
      <c r="B47" s="17">
        <v>0</v>
      </c>
      <c r="C47" s="82"/>
      <c r="D47" s="79"/>
      <c r="E47" s="65" t="s">
        <v>43</v>
      </c>
    </row>
    <row r="48" spans="1:7" hidden="1" x14ac:dyDescent="0.25">
      <c r="A48" s="33" t="s">
        <v>163</v>
      </c>
      <c r="B48" s="17">
        <v>0</v>
      </c>
      <c r="C48" s="82"/>
      <c r="D48" s="79"/>
      <c r="E48" s="65" t="s">
        <v>45</v>
      </c>
    </row>
    <row r="49" spans="1:5" hidden="1" x14ac:dyDescent="0.25">
      <c r="A49" s="93" t="s">
        <v>117</v>
      </c>
      <c r="B49" s="79">
        <v>0</v>
      </c>
      <c r="C49" s="82"/>
      <c r="D49" s="79"/>
    </row>
    <row r="50" spans="1:5" hidden="1" x14ac:dyDescent="0.25">
      <c r="A50" s="93" t="s">
        <v>47</v>
      </c>
      <c r="B50" s="79">
        <v>0</v>
      </c>
      <c r="C50" s="82"/>
      <c r="D50" s="79"/>
    </row>
    <row r="51" spans="1:5" hidden="1" x14ac:dyDescent="0.25">
      <c r="A51" s="93" t="s">
        <v>93</v>
      </c>
      <c r="B51" s="79">
        <v>0</v>
      </c>
      <c r="C51" s="82"/>
      <c r="D51" s="79"/>
    </row>
    <row r="52" spans="1:5" hidden="1" x14ac:dyDescent="0.25">
      <c r="A52" s="93" t="s">
        <v>49</v>
      </c>
      <c r="B52" s="79">
        <f>B21*'[1]63тарифы'!D177</f>
        <v>0</v>
      </c>
      <c r="C52" s="82"/>
      <c r="D52" s="79"/>
    </row>
    <row r="53" spans="1:5" hidden="1" x14ac:dyDescent="0.25">
      <c r="A53" s="93" t="s">
        <v>50</v>
      </c>
      <c r="B53" s="17">
        <v>0</v>
      </c>
      <c r="C53" s="82">
        <v>0</v>
      </c>
      <c r="D53" s="79">
        <v>522.99</v>
      </c>
    </row>
    <row r="54" spans="1:5" hidden="1" x14ac:dyDescent="0.25">
      <c r="A54" s="93" t="s">
        <v>51</v>
      </c>
      <c r="B54" s="17">
        <v>0</v>
      </c>
      <c r="C54" s="82">
        <v>0</v>
      </c>
      <c r="D54" s="95">
        <v>695.13</v>
      </c>
    </row>
    <row r="55" spans="1:5" hidden="1" x14ac:dyDescent="0.25">
      <c r="A55" s="93" t="s">
        <v>52</v>
      </c>
      <c r="B55" s="17">
        <v>0</v>
      </c>
      <c r="C55" s="82"/>
      <c r="D55" s="95"/>
    </row>
    <row r="56" spans="1:5" hidden="1" x14ac:dyDescent="0.25">
      <c r="A56" s="93" t="s">
        <v>53</v>
      </c>
      <c r="B56" s="17">
        <v>0</v>
      </c>
      <c r="C56" s="82">
        <v>0</v>
      </c>
      <c r="D56" s="79">
        <f>10695.76/1.18</f>
        <v>9064.203389830509</v>
      </c>
    </row>
    <row r="57" spans="1:5" hidden="1" x14ac:dyDescent="0.25">
      <c r="A57" s="93" t="s">
        <v>54</v>
      </c>
      <c r="B57" s="17">
        <v>0</v>
      </c>
      <c r="C57" s="82">
        <v>0</v>
      </c>
      <c r="D57" s="79">
        <f>2300/1.18</f>
        <v>1949.1525423728815</v>
      </c>
    </row>
    <row r="58" spans="1:5" hidden="1" x14ac:dyDescent="0.25">
      <c r="A58" s="93" t="s">
        <v>55</v>
      </c>
      <c r="B58" s="17">
        <v>0</v>
      </c>
      <c r="C58" s="82">
        <v>0</v>
      </c>
      <c r="D58" s="79">
        <v>0</v>
      </c>
    </row>
    <row r="59" spans="1:5" hidden="1" x14ac:dyDescent="0.25">
      <c r="A59" s="93" t="s">
        <v>56</v>
      </c>
      <c r="B59" s="17">
        <f>B13*'[1]63тарифы'!D184</f>
        <v>0</v>
      </c>
      <c r="C59" s="82"/>
      <c r="D59" s="79"/>
    </row>
    <row r="60" spans="1:5" hidden="1" x14ac:dyDescent="0.25">
      <c r="A60" s="33" t="s">
        <v>57</v>
      </c>
      <c r="B60" s="17">
        <v>0</v>
      </c>
      <c r="C60" s="82"/>
      <c r="D60" s="79"/>
    </row>
    <row r="61" spans="1:5" hidden="1" x14ac:dyDescent="0.25">
      <c r="A61" s="33" t="s">
        <v>58</v>
      </c>
      <c r="B61" s="17">
        <v>0</v>
      </c>
      <c r="C61" s="82"/>
      <c r="D61" s="79">
        <v>11000</v>
      </c>
    </row>
    <row r="62" spans="1:5" hidden="1" x14ac:dyDescent="0.25">
      <c r="A62" s="33" t="s">
        <v>94</v>
      </c>
      <c r="B62" s="17">
        <v>0</v>
      </c>
      <c r="C62" s="82"/>
      <c r="D62" s="79">
        <v>0</v>
      </c>
    </row>
    <row r="63" spans="1:5" hidden="1" x14ac:dyDescent="0.25">
      <c r="A63" s="33" t="s">
        <v>60</v>
      </c>
      <c r="B63" s="146">
        <v>0</v>
      </c>
      <c r="C63" s="147">
        <v>1</v>
      </c>
      <c r="D63" s="79">
        <v>0</v>
      </c>
    </row>
    <row r="64" spans="1:5" x14ac:dyDescent="0.25">
      <c r="A64" s="33" t="s">
        <v>61</v>
      </c>
      <c r="B64" s="146">
        <v>710.28</v>
      </c>
      <c r="C64" s="147">
        <v>4</v>
      </c>
      <c r="D64" s="79">
        <v>1</v>
      </c>
      <c r="E64" s="65">
        <v>0</v>
      </c>
    </row>
    <row r="65" spans="1:4" hidden="1" x14ac:dyDescent="0.25">
      <c r="A65" s="33" t="s">
        <v>46</v>
      </c>
      <c r="B65" s="146">
        <v>0</v>
      </c>
      <c r="C65" s="96"/>
      <c r="D65" s="92">
        <v>0</v>
      </c>
    </row>
    <row r="66" spans="1:4" s="3" customFormat="1" x14ac:dyDescent="0.25">
      <c r="A66" s="99" t="s">
        <v>63</v>
      </c>
      <c r="B66" s="24">
        <f>SUM(B67:B74)</f>
        <v>5236.1796601024826</v>
      </c>
      <c r="C66" s="80"/>
      <c r="D66" s="92"/>
    </row>
    <row r="67" spans="1:4" hidden="1" x14ac:dyDescent="0.25">
      <c r="A67" s="33" t="s">
        <v>64</v>
      </c>
      <c r="B67" s="17">
        <v>0</v>
      </c>
      <c r="C67" s="80"/>
      <c r="D67" s="92"/>
    </row>
    <row r="68" spans="1:4" hidden="1" x14ac:dyDescent="0.25">
      <c r="A68" s="33" t="s">
        <v>65</v>
      </c>
      <c r="B68" s="17">
        <f>43.35*B16</f>
        <v>0</v>
      </c>
      <c r="C68" s="80"/>
      <c r="D68" s="92"/>
    </row>
    <row r="69" spans="1:4" hidden="1" x14ac:dyDescent="0.25">
      <c r="A69" s="33" t="s">
        <v>66</v>
      </c>
      <c r="B69" s="17">
        <v>0</v>
      </c>
      <c r="C69" s="80"/>
      <c r="D69" s="92"/>
    </row>
    <row r="70" spans="1:4" hidden="1" x14ac:dyDescent="0.25">
      <c r="A70" s="44" t="s">
        <v>67</v>
      </c>
      <c r="B70" s="17">
        <v>0</v>
      </c>
      <c r="C70" s="80"/>
      <c r="D70" s="92"/>
    </row>
    <row r="71" spans="1:4" x14ac:dyDescent="0.25">
      <c r="A71" s="44" t="s">
        <v>68</v>
      </c>
      <c r="B71" s="17">
        <f>VLOOKUP($A71,[4]Лист1!S$1:T$65536,2,FALSE)*B15*1.0952</f>
        <v>874.75931023486771</v>
      </c>
      <c r="C71" s="80"/>
      <c r="D71" s="92"/>
    </row>
    <row r="72" spans="1:4" x14ac:dyDescent="0.25">
      <c r="A72" s="44" t="s">
        <v>69</v>
      </c>
      <c r="B72" s="17">
        <f>VLOOKUP($A72,[4]Лист1!S$1:T$65536,2,FALSE)*B15*1.0952</f>
        <v>3053.6276410217138</v>
      </c>
      <c r="C72" s="80"/>
      <c r="D72" s="92"/>
    </row>
    <row r="73" spans="1:4" x14ac:dyDescent="0.25">
      <c r="A73" s="44" t="s">
        <v>70</v>
      </c>
      <c r="B73" s="17">
        <f>'[1]63тарифы'!D186*B15*0.9*1.0952</f>
        <v>154.95616678688046</v>
      </c>
      <c r="C73" s="80"/>
      <c r="D73" s="92"/>
    </row>
    <row r="74" spans="1:4" x14ac:dyDescent="0.25">
      <c r="A74" s="44" t="s">
        <v>192</v>
      </c>
      <c r="B74" s="17">
        <f>(('[1]63тарифы'!D167*B15)+('[1]63тарифы'!D187*B15))*0.9*1.0952</f>
        <v>1152.8365420590201</v>
      </c>
      <c r="C74" s="80"/>
      <c r="D74" s="92"/>
    </row>
    <row r="75" spans="1:4" ht="63" x14ac:dyDescent="0.25">
      <c r="A75" s="101" t="s">
        <v>164</v>
      </c>
      <c r="B75" s="24">
        <f>SUM(B76:B76)</f>
        <v>6071.6879057952001</v>
      </c>
      <c r="C75" s="80"/>
      <c r="D75" s="92"/>
    </row>
    <row r="76" spans="1:4" x14ac:dyDescent="0.25">
      <c r="A76" s="44" t="s">
        <v>73</v>
      </c>
      <c r="B76" s="17">
        <f>5624.45*0.9*1.0952*1.0952</f>
        <v>6071.6879057952001</v>
      </c>
      <c r="C76" s="80"/>
      <c r="D76" s="92"/>
    </row>
    <row r="77" spans="1:4" s="3" customFormat="1" ht="31.5" x14ac:dyDescent="0.25">
      <c r="A77" s="99" t="s">
        <v>74</v>
      </c>
      <c r="B77" s="24">
        <f>SUM(B78:B81)</f>
        <v>479.68</v>
      </c>
      <c r="C77" s="80"/>
      <c r="D77" s="92"/>
    </row>
    <row r="78" spans="1:4" hidden="1" x14ac:dyDescent="0.25">
      <c r="A78" s="47" t="s">
        <v>165</v>
      </c>
      <c r="B78" s="17"/>
      <c r="C78" s="80"/>
      <c r="D78" s="92"/>
    </row>
    <row r="79" spans="1:4" hidden="1" x14ac:dyDescent="0.25">
      <c r="A79" s="47" t="s">
        <v>76</v>
      </c>
      <c r="B79" s="17">
        <f>B26/1.2*30%</f>
        <v>0</v>
      </c>
      <c r="C79" s="80"/>
      <c r="D79" s="92"/>
    </row>
    <row r="80" spans="1:4" x14ac:dyDescent="0.25">
      <c r="A80" s="174" t="s">
        <v>166</v>
      </c>
      <c r="B80" s="17">
        <v>274.68</v>
      </c>
      <c r="C80" s="80"/>
      <c r="D80" s="92"/>
    </row>
    <row r="81" spans="1:5" x14ac:dyDescent="0.25">
      <c r="A81" s="174" t="s">
        <v>167</v>
      </c>
      <c r="B81" s="17">
        <v>205</v>
      </c>
      <c r="C81" s="80"/>
      <c r="D81" s="92"/>
    </row>
    <row r="82" spans="1:5" x14ac:dyDescent="0.25">
      <c r="A82" s="103" t="s">
        <v>79</v>
      </c>
      <c r="B82" s="24">
        <f>B32+B42+B46+B66+B75+B77</f>
        <v>21400.960646417603</v>
      </c>
      <c r="C82" s="80"/>
      <c r="D82" s="92"/>
    </row>
    <row r="83" spans="1:5" x14ac:dyDescent="0.25">
      <c r="A83" s="104" t="s">
        <v>80</v>
      </c>
      <c r="B83" s="17">
        <f>B82*0.03</f>
        <v>642.02881939252802</v>
      </c>
      <c r="C83" s="80"/>
      <c r="D83" s="92"/>
    </row>
    <row r="84" spans="1:5" s="141" customFormat="1" x14ac:dyDescent="0.25">
      <c r="A84" s="105" t="s">
        <v>81</v>
      </c>
      <c r="B84" s="24">
        <f>B82+B83</f>
        <v>22042.989465810133</v>
      </c>
      <c r="C84" s="80"/>
      <c r="D84" s="92"/>
    </row>
    <row r="85" spans="1:5" ht="16.5" thickBot="1" x14ac:dyDescent="0.3">
      <c r="A85" s="106" t="s">
        <v>82</v>
      </c>
      <c r="B85" s="53">
        <f>B84*0.2</f>
        <v>4408.5978931620266</v>
      </c>
      <c r="C85" s="80"/>
      <c r="D85" s="92"/>
    </row>
    <row r="86" spans="1:5" s="3" customFormat="1" ht="16.5" thickBot="1" x14ac:dyDescent="0.3">
      <c r="A86" s="107" t="s">
        <v>83</v>
      </c>
      <c r="B86" s="125">
        <f>B84+B85</f>
        <v>26451.58735897216</v>
      </c>
      <c r="C86" s="108"/>
      <c r="D86" s="76"/>
      <c r="E86" s="178"/>
    </row>
    <row r="87" spans="1:5" s="3" customFormat="1" ht="16.5" thickBot="1" x14ac:dyDescent="0.3">
      <c r="A87" s="109" t="s">
        <v>84</v>
      </c>
      <c r="B87" s="125">
        <f>B10+B24+B26+B28+B29-B86</f>
        <v>-17866.38221248101</v>
      </c>
      <c r="C87" s="111"/>
      <c r="D87" s="111"/>
    </row>
    <row r="88" spans="1:5" s="3" customFormat="1" ht="16.5" hidden="1" thickBot="1" x14ac:dyDescent="0.3">
      <c r="A88" s="112" t="s">
        <v>85</v>
      </c>
      <c r="B88" s="125"/>
      <c r="C88" s="111"/>
      <c r="D88" s="111"/>
    </row>
    <row r="89" spans="1:5" s="3" customFormat="1" ht="16.5" hidden="1" thickBot="1" x14ac:dyDescent="0.3">
      <c r="A89" s="167" t="s">
        <v>86</v>
      </c>
      <c r="B89" s="55"/>
      <c r="C89" s="111"/>
      <c r="D89" s="111"/>
    </row>
    <row r="90" spans="1:5" s="3" customFormat="1" x14ac:dyDescent="0.25">
      <c r="A90" s="115"/>
      <c r="B90" s="126"/>
      <c r="C90" s="111"/>
      <c r="D90" s="111"/>
    </row>
    <row r="91" spans="1:5" x14ac:dyDescent="0.25">
      <c r="A91" s="128"/>
    </row>
    <row r="92" spans="1:5" x14ac:dyDescent="0.25">
      <c r="A92" s="193" t="s">
        <v>416</v>
      </c>
      <c r="B92" s="193"/>
    </row>
    <row r="93" spans="1:5" x14ac:dyDescent="0.25">
      <c r="A93" s="128"/>
      <c r="B93" s="161"/>
    </row>
    <row r="94" spans="1:5" x14ac:dyDescent="0.25">
      <c r="A94" s="209"/>
      <c r="B94" s="209"/>
      <c r="C94" s="161"/>
    </row>
  </sheetData>
  <autoFilter ref="A32:B89" xr:uid="{00000000-0009-0000-0000-00001A000000}">
    <filterColumn colId="1">
      <filters>
        <filter val="1 152,84"/>
        <filter val="154,96"/>
        <filter val="-17 866,38"/>
        <filter val="205,00"/>
        <filter val="21 400,96"/>
        <filter val="22 042,99"/>
        <filter val="26 451,59"/>
        <filter val="274,68"/>
        <filter val="3 053,63"/>
        <filter val="4 408,60"/>
        <filter val="479,68"/>
        <filter val="5 236,18"/>
        <filter val="6 071,69"/>
        <filter val="642,03"/>
        <filter val="710,28"/>
        <filter val="8 000,00"/>
        <filter val="874,76"/>
        <filter val="903,13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78740157480314965" right="0.78740157480314965" top="0.35433070866141736" bottom="0.15748031496062992" header="0.31496062992125984" footer="0.31496062992125984"/>
  <pageSetup paperSize="9" scale="84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>
    <pageSetUpPr fitToPage="1"/>
  </sheetPr>
  <dimension ref="A1:G95"/>
  <sheetViews>
    <sheetView view="pageBreakPreview" topLeftCell="A9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119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-421850.01847957901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896.6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5.75" x14ac:dyDescent="0.25">
      <c r="A15" s="16" t="s">
        <v>14</v>
      </c>
      <c r="B15" s="17">
        <f>B13+B14</f>
        <v>896.6</v>
      </c>
      <c r="C15" s="20"/>
      <c r="D15" s="21"/>
    </row>
    <row r="16" spans="1:4" ht="16.5" thickBot="1" x14ac:dyDescent="0.3">
      <c r="A16" s="16" t="s">
        <v>15</v>
      </c>
      <c r="B16" s="17">
        <f>987.9+1410/3</f>
        <v>1457.9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837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46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217219.16</v>
      </c>
      <c r="C24" s="18"/>
      <c r="D24" s="21"/>
      <c r="E24" s="67">
        <v>17.929999951500001</v>
      </c>
      <c r="F24" s="68">
        <v>20.070841945709102</v>
      </c>
      <c r="G24" s="1"/>
    </row>
    <row r="25" spans="1:7" ht="16.5" thickBot="1" x14ac:dyDescent="0.3">
      <c r="A25" s="23">
        <v>0</v>
      </c>
      <c r="B25" s="24">
        <f>VLOOKUP(A5,Лист11!K:M,3,FALSE)</f>
        <v>205169.36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1510.2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70624.239999999991</v>
      </c>
      <c r="C32" s="18"/>
      <c r="D32" s="21"/>
      <c r="E32" s="30">
        <f>(B86-B26-B24)/1.2/1.03</f>
        <v>31481.110346627105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22000</v>
      </c>
      <c r="C33" s="22"/>
      <c r="D33" s="21">
        <v>14337.32</v>
      </c>
      <c r="E33" s="1"/>
      <c r="F33" s="1"/>
      <c r="G33" s="1"/>
    </row>
    <row r="34" spans="1:7" ht="15.75" hidden="1" x14ac:dyDescent="0.25">
      <c r="A34" s="32" t="s">
        <v>36</v>
      </c>
      <c r="B34" s="17"/>
      <c r="C34" s="15"/>
      <c r="D34" s="18">
        <v>0</v>
      </c>
      <c r="E34" s="1"/>
      <c r="F34" s="1"/>
      <c r="G34" s="1"/>
    </row>
    <row r="35" spans="1:7" ht="15.75" x14ac:dyDescent="0.25">
      <c r="A35" s="32" t="s">
        <v>31</v>
      </c>
      <c r="B35" s="17">
        <v>13900.48</v>
      </c>
      <c r="C35" s="21"/>
      <c r="D35" s="18">
        <v>0</v>
      </c>
      <c r="E35" s="1"/>
      <c r="F35" s="1"/>
      <c r="G35" s="1"/>
    </row>
    <row r="36" spans="1:7" ht="15.75" x14ac:dyDescent="0.25">
      <c r="A36" s="32" t="s">
        <v>32</v>
      </c>
      <c r="B36" s="17">
        <v>9907.7900000000009</v>
      </c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5.75" hidden="1" x14ac:dyDescent="0.25">
      <c r="A38" s="32" t="s">
        <v>36</v>
      </c>
      <c r="B38" s="17">
        <v>0</v>
      </c>
      <c r="C38" s="21"/>
      <c r="D38" s="18">
        <v>0</v>
      </c>
      <c r="E38" s="1"/>
      <c r="F38" s="1"/>
      <c r="G38" s="1"/>
    </row>
    <row r="39" spans="1:7" ht="31.5" hidden="1" x14ac:dyDescent="0.25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thickBot="1" x14ac:dyDescent="0.3">
      <c r="A40" s="32" t="s">
        <v>92</v>
      </c>
      <c r="B40" s="17">
        <v>24815.97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5831.7774234154531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hidden="1" x14ac:dyDescent="0.25">
      <c r="A44" s="32" t="s">
        <v>39</v>
      </c>
      <c r="B44" s="17"/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'[1]34тарифы'!D163*B15*1.1194*1.0952</f>
        <v>5831.7774234154531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4309.9232079999992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6.5" thickBot="1" x14ac:dyDescent="0.3">
      <c r="A48" s="32" t="s">
        <v>44</v>
      </c>
      <c r="B48" s="17">
        <f>453.29*1.0952</f>
        <v>496.44320800000003</v>
      </c>
      <c r="C48" s="21"/>
      <c r="D48" s="18"/>
      <c r="E48" s="1" t="s">
        <v>45</v>
      </c>
      <c r="F48" s="1"/>
      <c r="G48" s="1"/>
    </row>
    <row r="49" spans="1:5" ht="16.5" hidden="1" thickBot="1" x14ac:dyDescent="0.3">
      <c r="A49" s="36" t="s">
        <v>117</v>
      </c>
      <c r="B49" s="17">
        <v>0</v>
      </c>
      <c r="C49" s="21"/>
      <c r="D49" s="18"/>
      <c r="E49" s="1"/>
    </row>
    <row r="50" spans="1:5" ht="16.5" hidden="1" thickBot="1" x14ac:dyDescent="0.3">
      <c r="A50" s="36" t="s">
        <v>47</v>
      </c>
      <c r="B50" s="17">
        <v>0</v>
      </c>
      <c r="C50" s="21"/>
      <c r="D50" s="18">
        <v>4190</v>
      </c>
      <c r="E50" s="1"/>
    </row>
    <row r="51" spans="1:5" ht="16.5" hidden="1" thickBot="1" x14ac:dyDescent="0.3">
      <c r="A51" s="36" t="s">
        <v>93</v>
      </c>
      <c r="B51" s="17">
        <v>0</v>
      </c>
      <c r="C51" s="21"/>
      <c r="D51" s="18"/>
      <c r="E51" s="1"/>
    </row>
    <row r="52" spans="1:5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thickBot="1" x14ac:dyDescent="0.3">
      <c r="A64" s="32" t="s">
        <v>61</v>
      </c>
      <c r="B64" s="38">
        <v>3813.4799999999996</v>
      </c>
      <c r="C64" s="40">
        <v>12</v>
      </c>
      <c r="D64" s="21">
        <v>1</v>
      </c>
      <c r="E64" s="1">
        <v>1</v>
      </c>
    </row>
    <row r="65" spans="1:4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92409.937824606983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51853.2*1.1194*1.0952</f>
        <v>63570.305822015987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VLOOKUP(A71,[3]Лист1!S$1:T$65536,2,FALSE)*B15*1.0952</f>
        <v>4541.4545313062099</v>
      </c>
      <c r="C71" s="43"/>
      <c r="D71" s="19"/>
    </row>
    <row r="72" spans="1:4" ht="15.75" x14ac:dyDescent="0.25">
      <c r="A72" s="35" t="s">
        <v>69</v>
      </c>
      <c r="B72" s="17">
        <f>VLOOKUP(A72,[3]Лист1!S$1:T$65536,2,FALSE)*B15*1.0952</f>
        <v>15853.402101563803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1000.5943692888528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7444.181000432126</v>
      </c>
      <c r="C74" s="34"/>
      <c r="D74" s="19"/>
    </row>
    <row r="75" spans="1:4" ht="63" x14ac:dyDescent="0.25">
      <c r="A75" s="45" t="s">
        <v>72</v>
      </c>
      <c r="B75" s="29">
        <f>SUM(B76:B76)</f>
        <v>29837.752068628459</v>
      </c>
      <c r="C75" s="34"/>
      <c r="D75" s="19"/>
    </row>
    <row r="76" spans="1:4" ht="15.75" x14ac:dyDescent="0.25">
      <c r="A76" s="35" t="s">
        <v>73</v>
      </c>
      <c r="B76" s="17">
        <f>'[1]34ОЭР'!D240*1.0952</f>
        <v>29837.752068628459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4211.1367799049931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2064</v>
      </c>
      <c r="C80" s="43"/>
      <c r="D80" s="19"/>
    </row>
    <row r="81" spans="1:4" ht="15.75" x14ac:dyDescent="0.25">
      <c r="A81" s="48" t="s">
        <v>78</v>
      </c>
      <c r="B81" s="17">
        <f>'[1]34тарифы'!D173*B13*1.1194*1.09</f>
        <v>2147.1367799049926</v>
      </c>
      <c r="C81" s="34"/>
      <c r="D81" s="19"/>
    </row>
    <row r="82" spans="1:4" ht="15.75" x14ac:dyDescent="0.25">
      <c r="A82" s="49" t="s">
        <v>79</v>
      </c>
      <c r="B82" s="24">
        <f>B32+B42+B46+B66+B75+B77</f>
        <v>207224.76730455589</v>
      </c>
      <c r="C82" s="34"/>
      <c r="D82" s="19"/>
    </row>
    <row r="83" spans="1:4" ht="15.75" x14ac:dyDescent="0.25">
      <c r="A83" s="50" t="s">
        <v>80</v>
      </c>
      <c r="B83" s="17">
        <f>B82*0.03</f>
        <v>6216.7430191366766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213441.51032369258</v>
      </c>
      <c r="C84" s="34"/>
      <c r="D84" s="19"/>
    </row>
    <row r="85" spans="1:4" ht="16.5" thickBot="1" x14ac:dyDescent="0.3">
      <c r="A85" s="52" t="s">
        <v>82</v>
      </c>
      <c r="B85" s="53">
        <f>B84*0.2</f>
        <v>42688.30206473852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256129.81238843111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-459250.47086801007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B000000}">
    <filterColumn colId="1">
      <filters>
        <filter val="1 000,59"/>
        <filter val="13 900,48"/>
        <filter val="15 853,40"/>
        <filter val="2 064,00"/>
        <filter val="2 147,14"/>
        <filter val="207 224,77"/>
        <filter val="213 441,51"/>
        <filter val="22 000,00"/>
        <filter val="24 815,97"/>
        <filter val="256 129,81"/>
        <filter val="29 837,75"/>
        <filter val="3 813,48"/>
        <filter val="4 211,14"/>
        <filter val="4 309,92"/>
        <filter val="4 541,45"/>
        <filter val="42 688,30"/>
        <filter val="-459 250,47"/>
        <filter val="496,44"/>
        <filter val="5 831,78"/>
        <filter val="6 216,74"/>
        <filter val="63 570,31"/>
        <filter val="7 444,18"/>
        <filter val="70 624,24"/>
        <filter val="9 907,79"/>
        <filter val="92 409,94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>
    <pageSetUpPr fitToPage="1"/>
  </sheetPr>
  <dimension ref="A1:G95"/>
  <sheetViews>
    <sheetView view="pageBreakPreview" topLeftCell="A3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115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-145431.09070662782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408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408</v>
      </c>
      <c r="C15" s="20"/>
      <c r="D15" s="21"/>
    </row>
    <row r="16" spans="1:4" ht="16.5" hidden="1" thickBot="1" x14ac:dyDescent="0.3">
      <c r="A16" s="16" t="s">
        <v>15</v>
      </c>
      <c r="B16" s="17">
        <f>86.8+1074/3</f>
        <v>444.8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303.60000000000002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364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29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/>
      <c r="F23" s="1"/>
      <c r="G23" s="1"/>
    </row>
    <row r="24" spans="1:7" ht="15.75" x14ac:dyDescent="0.25">
      <c r="A24" s="23" t="s">
        <v>22</v>
      </c>
      <c r="B24" s="24">
        <f>VLOOKUP(A5,Лист11!K:M,2,FALSE)</f>
        <v>109536.06</v>
      </c>
      <c r="C24" s="18"/>
      <c r="D24" s="21"/>
      <c r="E24" s="67">
        <v>19.859999964</v>
      </c>
      <c r="F24" s="68">
        <v>22.231283959701599</v>
      </c>
      <c r="G24" s="1"/>
    </row>
    <row r="25" spans="1:7" ht="16.5" thickBot="1" x14ac:dyDescent="0.3">
      <c r="A25" s="23">
        <v>0</v>
      </c>
      <c r="B25" s="24">
        <f>VLOOKUP(A5,Лист11!K:M,3,FALSE)</f>
        <v>93716.78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1510.2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28541.29</v>
      </c>
      <c r="C32" s="18"/>
      <c r="D32" s="21"/>
      <c r="E32" s="30">
        <f>(B86-B26-B24)/1.2/1.03</f>
        <v>-3190.8864258960252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20000</v>
      </c>
      <c r="C33" s="22"/>
      <c r="D33" s="21">
        <v>9248.4699999999993</v>
      </c>
      <c r="E33" s="1"/>
      <c r="F33" s="1"/>
      <c r="G33" s="1"/>
    </row>
    <row r="34" spans="1:7" ht="15.75" hidden="1" x14ac:dyDescent="0.25">
      <c r="A34" s="32" t="s">
        <v>116</v>
      </c>
      <c r="B34" s="17">
        <v>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hidden="1" x14ac:dyDescent="0.25">
      <c r="A36" s="32" t="s">
        <v>32</v>
      </c>
      <c r="B36" s="17"/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/>
      <c r="C37" s="21"/>
      <c r="D37" s="18">
        <v>0</v>
      </c>
      <c r="E37" s="1"/>
      <c r="F37" s="1"/>
      <c r="G37" s="1"/>
    </row>
    <row r="38" spans="1:7" ht="15.75" hidden="1" x14ac:dyDescent="0.25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1.5" hidden="1" x14ac:dyDescent="0.25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thickBot="1" x14ac:dyDescent="0.3">
      <c r="A40" s="32" t="s">
        <v>92</v>
      </c>
      <c r="B40" s="17">
        <v>8541.2900000000009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2653.7644309095522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hidden="1" x14ac:dyDescent="0.25">
      <c r="A44" s="32" t="s">
        <v>39</v>
      </c>
      <c r="B44" s="17"/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'[1]34тарифы'!D163*B15*1.1194*1.0952</f>
        <v>2653.7644309095522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4645.6378180032007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1715.64*1.1194*1.0952</f>
        <v>2103.3178180032</v>
      </c>
      <c r="C48" s="21"/>
      <c r="D48" s="18"/>
      <c r="E48" s="1" t="s">
        <v>45</v>
      </c>
      <c r="F48" s="1"/>
      <c r="G48" s="1"/>
    </row>
    <row r="49" spans="1:5" ht="15.75" hidden="1" x14ac:dyDescent="0.25">
      <c r="A49" s="36" t="s">
        <v>117</v>
      </c>
      <c r="B49" s="17">
        <v>0</v>
      </c>
      <c r="C49" s="21"/>
      <c r="D49" s="18"/>
      <c r="E49" s="1"/>
    </row>
    <row r="50" spans="1:5" ht="15.75" hidden="1" x14ac:dyDescent="0.25">
      <c r="A50" s="36" t="s">
        <v>47</v>
      </c>
      <c r="B50" s="17">
        <v>0</v>
      </c>
      <c r="C50" s="21"/>
      <c r="D50" s="18">
        <v>4190</v>
      </c>
      <c r="E50" s="1"/>
    </row>
    <row r="51" spans="1:5" ht="15.75" hidden="1" x14ac:dyDescent="0.25">
      <c r="A51" s="36" t="s">
        <v>93</v>
      </c>
      <c r="B51" s="17">
        <v>0</v>
      </c>
      <c r="C51" s="21"/>
      <c r="D51" s="18"/>
      <c r="E51" s="1"/>
    </row>
    <row r="52" spans="1:5" ht="15.75" hidden="1" x14ac:dyDescent="0.25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5.75" hidden="1" x14ac:dyDescent="0.25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5.75" hidden="1" x14ac:dyDescent="0.25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5.75" hidden="1" x14ac:dyDescent="0.25">
      <c r="A55" s="36" t="s">
        <v>52</v>
      </c>
      <c r="B55" s="17">
        <v>0</v>
      </c>
      <c r="C55" s="21"/>
      <c r="D55" s="37"/>
      <c r="E55" s="1"/>
    </row>
    <row r="56" spans="1:5" ht="15.75" hidden="1" x14ac:dyDescent="0.25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thickBot="1" x14ac:dyDescent="0.3">
      <c r="A57" s="36" t="s">
        <v>104</v>
      </c>
      <c r="B57" s="17">
        <v>2542.3200000000002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118</v>
      </c>
      <c r="B58" s="17"/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hidden="1" thickBot="1" x14ac:dyDescent="0.3">
      <c r="A64" s="32" t="s">
        <v>61</v>
      </c>
      <c r="B64" s="38">
        <v>0</v>
      </c>
      <c r="C64" s="40">
        <v>8</v>
      </c>
      <c r="D64" s="21">
        <v>1</v>
      </c>
      <c r="E64" s="1">
        <v>1</v>
      </c>
    </row>
    <row r="65" spans="1:4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32247.156509766221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15598.8*1.1194*1.0952</f>
        <v>19123.612167743999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VLOOKUP(A71,[3]Лист1!S$1:T$65536,2,FALSE)*B15*1.0952</f>
        <v>2066.5998759457211</v>
      </c>
      <c r="C71" s="43"/>
      <c r="D71" s="19"/>
    </row>
    <row r="72" spans="1:4" ht="15.75" x14ac:dyDescent="0.25">
      <c r="A72" s="35" t="s">
        <v>69</v>
      </c>
      <c r="B72" s="17">
        <f>VLOOKUP(A72,[3]Лист1!S$1:T$65536,2,FALSE)*B15*1.0952</f>
        <v>7214.1289955811189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455.32288943771124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3387.492581057671</v>
      </c>
      <c r="C74" s="34"/>
      <c r="D74" s="19"/>
    </row>
    <row r="75" spans="1:4" ht="63" x14ac:dyDescent="0.25">
      <c r="A75" s="45" t="s">
        <v>72</v>
      </c>
      <c r="B75" s="29">
        <f>SUM(B76:B76)</f>
        <v>15198.923604253914</v>
      </c>
      <c r="C75" s="34"/>
      <c r="D75" s="19"/>
    </row>
    <row r="76" spans="1:4" ht="15.75" x14ac:dyDescent="0.25">
      <c r="A76" s="35" t="s">
        <v>73</v>
      </c>
      <c r="B76" s="17">
        <f>'[1]34ОЭР'!D241*1.1194*1.0952</f>
        <v>15198.923604253914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2143.7489781613817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1238.4000000000001</v>
      </c>
      <c r="C80" s="43"/>
      <c r="D80" s="19"/>
    </row>
    <row r="81" spans="1:4" ht="15.75" x14ac:dyDescent="0.25">
      <c r="A81" s="48" t="s">
        <v>78</v>
      </c>
      <c r="B81" s="17">
        <f>'[1]34тарифы'!D173*B13*1.1194*1.01</f>
        <v>905.34897816138152</v>
      </c>
      <c r="C81" s="34"/>
      <c r="D81" s="19"/>
    </row>
    <row r="82" spans="1:4" ht="15.75" x14ac:dyDescent="0.25">
      <c r="A82" s="49" t="s">
        <v>79</v>
      </c>
      <c r="B82" s="24">
        <f>B32+B42+B46+B66+B75+B77</f>
        <v>85430.521341094267</v>
      </c>
      <c r="C82" s="34"/>
      <c r="D82" s="19"/>
    </row>
    <row r="83" spans="1:4" ht="15.75" x14ac:dyDescent="0.25">
      <c r="A83" s="50" t="s">
        <v>80</v>
      </c>
      <c r="B83" s="17">
        <f>B82*0.03</f>
        <v>2562.9156402328281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87993.43698132709</v>
      </c>
      <c r="C84" s="34"/>
      <c r="D84" s="19"/>
    </row>
    <row r="85" spans="1:4" ht="16.5" thickBot="1" x14ac:dyDescent="0.3">
      <c r="A85" s="52" t="s">
        <v>82</v>
      </c>
      <c r="B85" s="53">
        <f>B84*0.2</f>
        <v>17598.687396265417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105592.12437759251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-139976.95508422033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C000000}">
    <filterColumn colId="1">
      <filters>
        <filter val="1 238,40"/>
        <filter val="105 592,12"/>
        <filter val="-139 976,96"/>
        <filter val="15 198,92"/>
        <filter val="17 598,69"/>
        <filter val="19 123,61"/>
        <filter val="2 066,60"/>
        <filter val="2 103,32"/>
        <filter val="2 143,75"/>
        <filter val="2 542,32"/>
        <filter val="2 562,92"/>
        <filter val="2 653,76"/>
        <filter val="20 000,00"/>
        <filter val="28 541,29"/>
        <filter val="3 387,49"/>
        <filter val="32 247,16"/>
        <filter val="4 645,64"/>
        <filter val="455,32"/>
        <filter val="7 214,13"/>
        <filter val="8 541,29"/>
        <filter val="85 430,52"/>
        <filter val="87 993,44"/>
        <filter val="905,35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9" tint="0.39997558519241921"/>
    <pageSetUpPr fitToPage="1"/>
  </sheetPr>
  <dimension ref="A1:G95"/>
  <sheetViews>
    <sheetView view="pageBreakPreview" topLeftCell="A74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88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89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-410969.28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644.79999999999995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5.75" x14ac:dyDescent="0.25">
      <c r="A15" s="16" t="s">
        <v>14</v>
      </c>
      <c r="B15" s="17">
        <f>B13+B14</f>
        <v>644.79999999999995</v>
      </c>
      <c r="C15" s="20"/>
      <c r="D15" s="21"/>
    </row>
    <row r="16" spans="1:4" ht="16.5" thickBot="1" x14ac:dyDescent="0.3">
      <c r="A16" s="16" t="s">
        <v>15</v>
      </c>
      <c r="B16" s="17">
        <f>586.3+1665.3/3</f>
        <v>1141.4000000000001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93.3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657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37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v>176635.78</v>
      </c>
      <c r="C24" s="18"/>
      <c r="D24" s="21"/>
      <c r="E24" s="67">
        <v>20.260000078499999</v>
      </c>
      <c r="F24" s="68">
        <v>22.679044087872899</v>
      </c>
      <c r="G24" s="1"/>
    </row>
    <row r="25" spans="1:7" ht="16.5" thickBot="1" x14ac:dyDescent="0.3">
      <c r="A25" s="23">
        <v>0</v>
      </c>
      <c r="B25" s="24">
        <v>154230.17000000001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1510.2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45997.098060500801</v>
      </c>
      <c r="C32" s="18"/>
      <c r="D32" s="21"/>
      <c r="E32" s="30">
        <f>(B86-B26-B24)/1.2/1.03</f>
        <v>29125.760068635773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f>7566.41*1.1194*1.0952</f>
        <v>9276.1680605007987</v>
      </c>
      <c r="C33" s="22"/>
      <c r="D33" s="21">
        <v>22527.759999999998</v>
      </c>
      <c r="E33" s="1"/>
      <c r="F33" s="1"/>
      <c r="G33" s="1"/>
    </row>
    <row r="34" spans="1:7" ht="15.75" hidden="1" x14ac:dyDescent="0.25">
      <c r="A34" s="32" t="s">
        <v>32</v>
      </c>
      <c r="B34" s="17"/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6.5" thickBot="1" x14ac:dyDescent="0.3">
      <c r="A36" s="32" t="s">
        <v>30</v>
      </c>
      <c r="B36" s="17">
        <v>36720.93</v>
      </c>
      <c r="C36" s="21" t="s">
        <v>11</v>
      </c>
      <c r="D36" s="18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hidden="1" thickBot="1" x14ac:dyDescent="0.3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30</v>
      </c>
      <c r="B41" s="17"/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23882.158981628381</v>
      </c>
      <c r="C42" s="14"/>
      <c r="D42" s="21"/>
      <c r="E42" s="30"/>
      <c r="F42" s="30"/>
      <c r="G42" s="30"/>
    </row>
    <row r="43" spans="1:7" ht="15.75" x14ac:dyDescent="0.25">
      <c r="A43" s="32" t="s">
        <v>38</v>
      </c>
      <c r="B43" s="17">
        <v>8541.2900000000009</v>
      </c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11034.68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('[1]34тарифы'!D163*B15+91.52)*1.1194*1.0952</f>
        <v>4306.188981628382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4934.9620138111995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852.24*1.1194*1.0952</f>
        <v>1044.8180138112</v>
      </c>
      <c r="C48" s="21"/>
      <c r="D48" s="18"/>
      <c r="E48" s="1" t="s">
        <v>45</v>
      </c>
      <c r="F48" s="1"/>
      <c r="G48" s="1"/>
    </row>
    <row r="49" spans="1:5" ht="15.75" x14ac:dyDescent="0.25">
      <c r="A49" s="36" t="s">
        <v>46</v>
      </c>
      <c r="B49" s="17">
        <f>70*1.0952</f>
        <v>76.664000000000001</v>
      </c>
      <c r="C49" s="21"/>
      <c r="D49" s="18"/>
      <c r="E49" s="1"/>
    </row>
    <row r="50" spans="1:5" ht="15.75" hidden="1" x14ac:dyDescent="0.25">
      <c r="A50" s="36" t="s">
        <v>47</v>
      </c>
      <c r="B50" s="17">
        <v>0</v>
      </c>
      <c r="C50" s="21"/>
      <c r="D50" s="18">
        <v>4190</v>
      </c>
      <c r="E50" s="1"/>
    </row>
    <row r="51" spans="1:5" ht="15.75" hidden="1" x14ac:dyDescent="0.25">
      <c r="A51" s="36" t="s">
        <v>93</v>
      </c>
      <c r="B51" s="17">
        <v>0</v>
      </c>
      <c r="C51" s="21"/>
      <c r="D51" s="18"/>
      <c r="E51" s="1"/>
    </row>
    <row r="52" spans="1:5" ht="16.5" thickBot="1" x14ac:dyDescent="0.3">
      <c r="A52" s="36" t="s">
        <v>61</v>
      </c>
      <c r="B52" s="17">
        <v>3813.4799999999996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95</v>
      </c>
      <c r="B63" s="38"/>
      <c r="C63" s="39">
        <v>1</v>
      </c>
      <c r="D63" s="18">
        <v>0</v>
      </c>
      <c r="E63" s="1"/>
    </row>
    <row r="64" spans="1:5" ht="16.5" hidden="1" thickBot="1" x14ac:dyDescent="0.3">
      <c r="A64" s="32" t="s">
        <v>96</v>
      </c>
      <c r="B64" s="38"/>
      <c r="C64" s="40">
        <v>12</v>
      </c>
      <c r="D64" s="21">
        <v>1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70307.384321156918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40403.04*1.1194*1.0952</f>
        <v>49532.788891315198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3288.4799999999996</v>
      </c>
      <c r="C71" s="43"/>
      <c r="D71" s="19"/>
    </row>
    <row r="72" spans="1:4" ht="15.75" x14ac:dyDescent="0.25">
      <c r="A72" s="35" t="s">
        <v>69</v>
      </c>
      <c r="B72" s="17">
        <f>17.7*B15</f>
        <v>11412.96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719.58872330744168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5353.5667065342795</v>
      </c>
      <c r="C74" s="34"/>
      <c r="D74" s="19"/>
    </row>
    <row r="75" spans="1:4" ht="63" x14ac:dyDescent="0.25">
      <c r="A75" s="45" t="s">
        <v>72</v>
      </c>
      <c r="B75" s="29">
        <f>SUM(B76:B76)</f>
        <v>24020.25965691893</v>
      </c>
      <c r="C75" s="34"/>
      <c r="D75" s="19"/>
    </row>
    <row r="76" spans="1:4" ht="15.75" x14ac:dyDescent="0.25">
      <c r="A76" s="35" t="s">
        <v>73</v>
      </c>
      <c r="B76" s="17">
        <f>'[1]34ОЭР'!D118*1.1194*1.0952</f>
        <v>24020.25965691893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2893.104154360648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1341.6</v>
      </c>
      <c r="C80" s="43"/>
      <c r="D80" s="19"/>
    </row>
    <row r="81" spans="1:4" ht="15.75" x14ac:dyDescent="0.25">
      <c r="A81" s="48" t="s">
        <v>78</v>
      </c>
      <c r="B81" s="17">
        <f>'[1]34тарифы'!D173*B13*1.1194*1.0952</f>
        <v>1551.5041543606483</v>
      </c>
      <c r="C81" s="34"/>
      <c r="D81" s="19"/>
    </row>
    <row r="82" spans="1:4" ht="15.75" x14ac:dyDescent="0.25">
      <c r="A82" s="49" t="s">
        <v>79</v>
      </c>
      <c r="B82" s="24">
        <f>B32+B42+B46+B66+B75+B77</f>
        <v>172034.96718837688</v>
      </c>
      <c r="C82" s="34"/>
      <c r="D82" s="19"/>
    </row>
    <row r="83" spans="1:4" ht="15.75" x14ac:dyDescent="0.25">
      <c r="A83" s="50" t="s">
        <v>80</v>
      </c>
      <c r="B83" s="17">
        <f>B82*0.03</f>
        <v>5161.049015651306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177196.01620402819</v>
      </c>
      <c r="C84" s="34"/>
      <c r="D84" s="19"/>
    </row>
    <row r="85" spans="1:4" ht="16.5" thickBot="1" x14ac:dyDescent="0.3">
      <c r="A85" s="52" t="s">
        <v>82</v>
      </c>
      <c r="B85" s="53">
        <f>B84*0.2</f>
        <v>35439.20324080564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212635.21944483381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-445458.51944483386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98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02000000}">
    <filterColumn colId="1">
      <filters>
        <filter val="1 044,82"/>
        <filter val="1 341,60"/>
        <filter val="1 551,50"/>
        <filter val="11 034,68"/>
        <filter val="11 412,96"/>
        <filter val="172 034,97"/>
        <filter val="177 196,02"/>
        <filter val="2 893,10"/>
        <filter val="212 635,22"/>
        <filter val="23 882,16"/>
        <filter val="24 020,26"/>
        <filter val="3 288,48"/>
        <filter val="3 813,48"/>
        <filter val="35 439,20"/>
        <filter val="36 720,93"/>
        <filter val="4 306,19"/>
        <filter val="4 934,96"/>
        <filter val="-412 619,19"/>
        <filter val="45 997,10"/>
        <filter val="49 532,79"/>
        <filter val="5 161,05"/>
        <filter val="5 353,57"/>
        <filter val="70 307,38"/>
        <filter val="719,59"/>
        <filter val="76,66"/>
        <filter val="8 541,29"/>
        <filter val="9 276,1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114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-723134.53854045738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1364.6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447.1</v>
      </c>
      <c r="C14" s="19"/>
      <c r="D14" s="18"/>
    </row>
    <row r="15" spans="1:4" ht="15.75" x14ac:dyDescent="0.25">
      <c r="A15" s="16" t="s">
        <v>14</v>
      </c>
      <c r="B15" s="17">
        <f>B13+B14</f>
        <v>1811.6999999999998</v>
      </c>
      <c r="C15" s="20"/>
      <c r="D15" s="21"/>
    </row>
    <row r="16" spans="1:4" ht="16.5" thickBot="1" x14ac:dyDescent="0.3">
      <c r="A16" s="16" t="s">
        <v>15</v>
      </c>
      <c r="B16" s="17">
        <f>1559.2+1894.8/3</f>
        <v>2190.8000000000002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160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1201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56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340254.44</v>
      </c>
      <c r="C24" s="18"/>
      <c r="D24" s="21"/>
      <c r="E24" s="67">
        <v>18.420000055999999</v>
      </c>
      <c r="F24" s="68">
        <v>20.619348062686399</v>
      </c>
      <c r="G24" s="1"/>
    </row>
    <row r="25" spans="1:7" ht="16.5" thickBot="1" x14ac:dyDescent="0.3">
      <c r="A25" s="23">
        <v>0</v>
      </c>
      <c r="B25" s="24">
        <f>VLOOKUP(A5,Лист11!K:M,3,FALSE)</f>
        <v>402922.25</v>
      </c>
      <c r="C25" s="22"/>
      <c r="D25" s="21"/>
      <c r="E25" s="1"/>
      <c r="F25" s="1"/>
      <c r="G25" s="1"/>
    </row>
    <row r="26" spans="1:7" ht="15.75" x14ac:dyDescent="0.25">
      <c r="A26" s="23" t="s">
        <v>23</v>
      </c>
      <c r="B26" s="24">
        <v>110119.43</v>
      </c>
      <c r="C26" s="15"/>
      <c r="D26" s="18"/>
      <c r="E26" s="1"/>
      <c r="F26" s="1"/>
      <c r="G26" s="1"/>
    </row>
    <row r="27" spans="1:7" ht="16.5" thickBot="1" x14ac:dyDescent="0.3">
      <c r="A27" s="23" t="s">
        <v>24</v>
      </c>
      <c r="B27" s="24">
        <v>79350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5283.6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58558.39</v>
      </c>
      <c r="C32" s="18"/>
      <c r="D32" s="21"/>
      <c r="E32" s="30">
        <f>(B86-B26-B24)/1.2/1.03</f>
        <v>17454.645676320491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36000</v>
      </c>
      <c r="C33" s="22"/>
      <c r="D33" s="21">
        <v>16744.63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x14ac:dyDescent="0.25">
      <c r="A36" s="32" t="s">
        <v>32</v>
      </c>
      <c r="B36" s="17">
        <v>12335.28</v>
      </c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/>
      <c r="C37" s="21"/>
      <c r="D37" s="18">
        <v>0</v>
      </c>
      <c r="E37" s="1"/>
      <c r="F37" s="1"/>
      <c r="G37" s="1"/>
    </row>
    <row r="38" spans="1:7" ht="15.75" hidden="1" x14ac:dyDescent="0.25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1.5" hidden="1" x14ac:dyDescent="0.25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5.75" hidden="1" x14ac:dyDescent="0.25">
      <c r="A40" s="32" t="s">
        <v>36</v>
      </c>
      <c r="B40" s="17"/>
      <c r="C40" s="21"/>
      <c r="D40" s="18"/>
      <c r="E40" s="1"/>
      <c r="F40" s="1"/>
      <c r="G40" s="1"/>
    </row>
    <row r="41" spans="1:7" ht="16.5" thickBot="1" x14ac:dyDescent="0.3">
      <c r="A41" s="32" t="s">
        <v>421</v>
      </c>
      <c r="B41" s="17">
        <v>10223.11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76547.267008687821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64665.55000000001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('[1]34тарифы'!D163*B15+79.8)*1.1194*1.0952</f>
        <v>11881.71700868781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7661.6366318303999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6.5" thickBot="1" x14ac:dyDescent="0.3">
      <c r="A48" s="32" t="s">
        <v>44</v>
      </c>
      <c r="B48" s="17">
        <f>1583.58*1.1194*1.0952</f>
        <v>1941.4166318303999</v>
      </c>
      <c r="C48" s="21"/>
      <c r="D48" s="18"/>
      <c r="E48" s="1" t="s">
        <v>45</v>
      </c>
      <c r="F48" s="1"/>
      <c r="G48" s="1"/>
    </row>
    <row r="49" spans="1:5" ht="16.5" hidden="1" thickBot="1" x14ac:dyDescent="0.3">
      <c r="A49" s="36" t="s">
        <v>46</v>
      </c>
      <c r="B49" s="17"/>
      <c r="C49" s="21"/>
      <c r="D49" s="18"/>
      <c r="E49" s="1"/>
    </row>
    <row r="50" spans="1:5" ht="16.5" hidden="1" thickBot="1" x14ac:dyDescent="0.3">
      <c r="A50" s="36" t="s">
        <v>47</v>
      </c>
      <c r="B50" s="17">
        <v>0</v>
      </c>
      <c r="C50" s="21"/>
      <c r="D50" s="18">
        <v>4190</v>
      </c>
      <c r="E50" s="1"/>
    </row>
    <row r="51" spans="1:5" ht="16.5" hidden="1" thickBot="1" x14ac:dyDescent="0.3">
      <c r="A51" s="36" t="s">
        <v>48</v>
      </c>
      <c r="B51" s="17">
        <v>0</v>
      </c>
      <c r="C51" s="21"/>
      <c r="D51" s="18"/>
      <c r="E51" s="1"/>
    </row>
    <row r="52" spans="1:5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thickBot="1" x14ac:dyDescent="0.3">
      <c r="A64" s="32" t="s">
        <v>61</v>
      </c>
      <c r="B64" s="38">
        <v>5720.22</v>
      </c>
      <c r="C64" s="40">
        <v>18</v>
      </c>
      <c r="D64" s="21">
        <v>2</v>
      </c>
      <c r="E64" s="1">
        <v>1</v>
      </c>
    </row>
    <row r="65" spans="1:4" ht="16.5" hidden="1" thickBot="1" x14ac:dyDescent="0.3">
      <c r="A65" s="32" t="s">
        <v>62</v>
      </c>
      <c r="B65" s="38">
        <v>0</v>
      </c>
      <c r="C65" s="41">
        <v>20</v>
      </c>
      <c r="D65" s="34">
        <f>650/1.18</f>
        <v>550.84745762711873</v>
      </c>
    </row>
    <row r="66" spans="1:4" s="4" customFormat="1" ht="16.5" thickBot="1" x14ac:dyDescent="0.3">
      <c r="A66" s="42" t="s">
        <v>63</v>
      </c>
      <c r="B66" s="29">
        <f>SUM(B67:B74)</f>
        <v>153896.50676498987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77997.36*1.1194*1.0952</f>
        <v>95622.180087436791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VLOOKUP(A71,[3]Лист1!S$1:T$65536,2,FALSE)*B15*1.0952</f>
        <v>9176.6151844383894</v>
      </c>
      <c r="C71" s="43"/>
      <c r="D71" s="19"/>
    </row>
    <row r="72" spans="1:4" ht="15.75" x14ac:dyDescent="0.25">
      <c r="A72" s="35" t="s">
        <v>69</v>
      </c>
      <c r="B72" s="17">
        <f>VLOOKUP(A72,[3]Лист1!S$1:T$65536,2,FALSE)*B15*1.0952</f>
        <v>32033.915444348804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2021.8345068487781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15041.961541917111</v>
      </c>
      <c r="C74" s="34"/>
      <c r="D74" s="19"/>
    </row>
    <row r="75" spans="1:4" ht="63" x14ac:dyDescent="0.25">
      <c r="A75" s="45" t="s">
        <v>72</v>
      </c>
      <c r="B75" s="29">
        <f>SUM(B76:B76)</f>
        <v>50834.439094031586</v>
      </c>
      <c r="C75" s="34"/>
      <c r="D75" s="19"/>
    </row>
    <row r="76" spans="1:4" ht="15.75" x14ac:dyDescent="0.25">
      <c r="A76" s="35" t="s">
        <v>73</v>
      </c>
      <c r="B76" s="17">
        <f>'[1]34ОЭР'!D248*1.1194*1.0952</f>
        <v>50834.439094031586</v>
      </c>
      <c r="C76" s="34"/>
      <c r="D76" s="19"/>
    </row>
    <row r="77" spans="1:4" s="4" customFormat="1" ht="31.5" x14ac:dyDescent="0.25">
      <c r="A77" s="42" t="s">
        <v>74</v>
      </c>
      <c r="B77" s="29">
        <f>SUM(B78:B81)</f>
        <v>34336.559898463704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thickBot="1" x14ac:dyDescent="0.3">
      <c r="A79" s="47" t="s">
        <v>76</v>
      </c>
      <c r="B79" s="17">
        <f>(B26/1.2)*30%</f>
        <v>27529.857499999998</v>
      </c>
      <c r="C79" s="25"/>
      <c r="D79" s="34"/>
    </row>
    <row r="80" spans="1:4" ht="15.75" x14ac:dyDescent="0.25">
      <c r="A80" s="48" t="s">
        <v>77</v>
      </c>
      <c r="B80" s="17">
        <v>3508.84</v>
      </c>
      <c r="C80" s="43"/>
      <c r="D80" s="19"/>
    </row>
    <row r="81" spans="1:4" ht="15.75" x14ac:dyDescent="0.25">
      <c r="A81" s="48" t="s">
        <v>78</v>
      </c>
      <c r="B81" s="17">
        <f>'[1]34тарифы'!D173*B13*1.1194*1.1</f>
        <v>3297.8623984637047</v>
      </c>
      <c r="C81" s="34"/>
      <c r="D81" s="19"/>
    </row>
    <row r="82" spans="1:4" ht="15.75" x14ac:dyDescent="0.25">
      <c r="A82" s="49" t="s">
        <v>79</v>
      </c>
      <c r="B82" s="24">
        <f>B32+B42+B46+B66+B75+B77</f>
        <v>381834.79939800338</v>
      </c>
      <c r="C82" s="34"/>
      <c r="D82" s="19"/>
    </row>
    <row r="83" spans="1:4" ht="15.75" x14ac:dyDescent="0.25">
      <c r="A83" s="50" t="s">
        <v>80</v>
      </c>
      <c r="B83" s="17">
        <f>B82*0.03</f>
        <v>11455.043981940102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393289.84337994346</v>
      </c>
      <c r="C84" s="34"/>
      <c r="D84" s="19"/>
    </row>
    <row r="85" spans="1:4" ht="16.5" thickBot="1" x14ac:dyDescent="0.3">
      <c r="A85" s="52" t="s">
        <v>82</v>
      </c>
      <c r="B85" s="53">
        <f>B84*0.2</f>
        <v>78657.968675988697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471947.81205593213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-739424.88059638953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D000000}">
    <filterColumn colId="1">
      <filters>
        <filter val="1 941,42"/>
        <filter val="10 223,11"/>
        <filter val="11 455,04"/>
        <filter val="11 881,72"/>
        <filter val="12 335,28"/>
        <filter val="15 041,96"/>
        <filter val="153 896,51"/>
        <filter val="2 021,83"/>
        <filter val="27 529,86"/>
        <filter val="3 297,86"/>
        <filter val="3 508,84"/>
        <filter val="32 033,92"/>
        <filter val="34 336,56"/>
        <filter val="36 000,00"/>
        <filter val="381 834,80"/>
        <filter val="393 289,84"/>
        <filter val="471 947,81"/>
        <filter val="5 720,22"/>
        <filter val="50 834,44"/>
        <filter val="58 558,39"/>
        <filter val="64 665,55"/>
        <filter val="7 661,64"/>
        <filter val="-739 424,88"/>
        <filter val="76 547,27"/>
        <filter val="78 657,97"/>
        <filter val="9 176,62"/>
        <filter val="95 622,18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>
    <pageSetUpPr fitToPage="1"/>
  </sheetPr>
  <dimension ref="A1:G95"/>
  <sheetViews>
    <sheetView view="pageBreakPreview" topLeftCell="A16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113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-257388.76085581878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809.4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83.7</v>
      </c>
      <c r="C14" s="19"/>
      <c r="D14" s="18"/>
    </row>
    <row r="15" spans="1:4" ht="15.75" x14ac:dyDescent="0.25">
      <c r="A15" s="16" t="s">
        <v>14</v>
      </c>
      <c r="B15" s="17">
        <f>B13+B14</f>
        <v>893.1</v>
      </c>
      <c r="C15" s="20"/>
      <c r="D15" s="21"/>
    </row>
    <row r="16" spans="1:4" ht="16.5" thickBot="1" x14ac:dyDescent="0.3">
      <c r="A16" s="16" t="s">
        <v>15</v>
      </c>
      <c r="B16" s="17">
        <f>601.3+1920.6/3</f>
        <v>1241.5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880.8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826.7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47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191886.58</v>
      </c>
      <c r="C24" s="18"/>
      <c r="D24" s="21"/>
      <c r="E24" s="67">
        <v>17.409999999</v>
      </c>
      <c r="F24" s="68">
        <v>19.4887539988806</v>
      </c>
      <c r="G24" s="1"/>
    </row>
    <row r="25" spans="1:7" ht="16.5" thickBot="1" x14ac:dyDescent="0.3">
      <c r="A25" s="23">
        <v>0</v>
      </c>
      <c r="B25" s="24">
        <f>VLOOKUP(A5,Лист11!K:M,3,FALSE)</f>
        <v>180737.78</v>
      </c>
      <c r="C25" s="22"/>
      <c r="D25" s="21"/>
      <c r="E25" s="1"/>
      <c r="F25" s="1"/>
      <c r="G25" s="1"/>
    </row>
    <row r="26" spans="1:7" ht="15.75" x14ac:dyDescent="0.25">
      <c r="A26" s="23" t="s">
        <v>23</v>
      </c>
      <c r="B26" s="24">
        <v>19697.12</v>
      </c>
      <c r="C26" s="15"/>
      <c r="D26" s="18"/>
      <c r="E26" s="1"/>
      <c r="F26" s="1"/>
      <c r="G26" s="1"/>
    </row>
    <row r="27" spans="1:7" ht="16.5" thickBot="1" x14ac:dyDescent="0.3">
      <c r="A27" s="23" t="s">
        <v>24</v>
      </c>
      <c r="B27" s="24">
        <v>33281.64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1510.2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80495.28</v>
      </c>
      <c r="C32" s="18"/>
      <c r="D32" s="21"/>
      <c r="E32" s="30">
        <f>(B86-B26-B24)/1.2/1.03</f>
        <v>91225.619332635048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19000</v>
      </c>
      <c r="C33" s="22"/>
      <c r="D33" s="21">
        <v>16534.02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x14ac:dyDescent="0.25">
      <c r="A36" s="32" t="s">
        <v>32</v>
      </c>
      <c r="B36" s="17">
        <v>11121.54</v>
      </c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5.75" hidden="1" x14ac:dyDescent="0.25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1.5" hidden="1" x14ac:dyDescent="0.25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thickBot="1" x14ac:dyDescent="0.3">
      <c r="A40" s="32" t="s">
        <v>155</v>
      </c>
      <c r="B40" s="17">
        <v>50373.74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33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49310.527363279587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43329.61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('[1]34тарифы'!D163*B15+140.22)*1.1194*1.0952</f>
        <v>5980.9173632795837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10927.814055049599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4917.42*1.1194*1.0952</f>
        <v>6028.5940550495998</v>
      </c>
      <c r="C48" s="21"/>
      <c r="D48" s="18"/>
      <c r="E48" s="1" t="s">
        <v>45</v>
      </c>
      <c r="F48" s="1"/>
      <c r="G48" s="1"/>
    </row>
    <row r="49" spans="1:5" ht="16.5" thickBot="1" x14ac:dyDescent="0.3">
      <c r="A49" s="36" t="s">
        <v>103</v>
      </c>
      <c r="B49" s="17">
        <v>1403.53</v>
      </c>
      <c r="C49" s="21"/>
      <c r="D49" s="18"/>
      <c r="E49" s="1"/>
    </row>
    <row r="50" spans="1:5" ht="16.5" hidden="1" thickBot="1" x14ac:dyDescent="0.3">
      <c r="A50" s="36" t="s">
        <v>47</v>
      </c>
      <c r="B50" s="17">
        <v>0</v>
      </c>
      <c r="C50" s="21"/>
      <c r="D50" s="18">
        <v>4190</v>
      </c>
      <c r="E50" s="1"/>
    </row>
    <row r="51" spans="1:5" ht="16.5" hidden="1" thickBot="1" x14ac:dyDescent="0.3">
      <c r="A51" s="36" t="s">
        <v>93</v>
      </c>
      <c r="B51" s="17">
        <v>0</v>
      </c>
      <c r="C51" s="21"/>
      <c r="D51" s="18"/>
      <c r="E51" s="1"/>
    </row>
    <row r="52" spans="1:5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thickBot="1" x14ac:dyDescent="0.3">
      <c r="A64" s="32" t="s">
        <v>61</v>
      </c>
      <c r="B64" s="38">
        <v>3495.69</v>
      </c>
      <c r="C64" s="40">
        <v>11</v>
      </c>
      <c r="D64" s="21">
        <v>1</v>
      </c>
      <c r="E64" s="1">
        <v>1</v>
      </c>
    </row>
    <row r="65" spans="1:4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82557.689041281948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43908.72*1.1194*1.0952</f>
        <v>53830.636463193601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VLOOKUP(A71,[3]Лист1!S$1:T$65536,2,FALSE)*B15*1.0952</f>
        <v>4523.7263460958911</v>
      </c>
      <c r="C71" s="43"/>
      <c r="D71" s="19"/>
    </row>
    <row r="72" spans="1:4" ht="15.75" x14ac:dyDescent="0.25">
      <c r="A72" s="35" t="s">
        <v>69</v>
      </c>
      <c r="B72" s="17">
        <f>VLOOKUP(A72,[3]Лист1!S$1:T$65536,2,FALSE)*B15*1.0952</f>
        <v>15791.516191062494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996.68841312946063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7415.1216278005049</v>
      </c>
      <c r="C74" s="34"/>
      <c r="D74" s="19"/>
    </row>
    <row r="75" spans="1:4" ht="63" x14ac:dyDescent="0.25">
      <c r="A75" s="45" t="s">
        <v>72</v>
      </c>
      <c r="B75" s="29">
        <f>SUM(B76:B76)</f>
        <v>30151.982267850781</v>
      </c>
      <c r="C75" s="34"/>
      <c r="D75" s="19"/>
    </row>
    <row r="76" spans="1:4" ht="15.75" x14ac:dyDescent="0.25">
      <c r="A76" s="35" t="s">
        <v>73</v>
      </c>
      <c r="B76" s="17">
        <f>'[1]34ОЭР'!D225*1.1194*1.0952</f>
        <v>30151.982267850781</v>
      </c>
      <c r="C76" s="34"/>
      <c r="D76" s="19"/>
    </row>
    <row r="77" spans="1:4" s="4" customFormat="1" ht="31.5" x14ac:dyDescent="0.25">
      <c r="A77" s="42" t="s">
        <v>74</v>
      </c>
      <c r="B77" s="29">
        <f>SUM(B78:B81)</f>
        <v>8966.5499061440059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thickBot="1" x14ac:dyDescent="0.3">
      <c r="A79" s="47" t="s">
        <v>76</v>
      </c>
      <c r="B79" s="17">
        <f>(B26/1.2)*30%</f>
        <v>4924.28</v>
      </c>
      <c r="C79" s="25"/>
      <c r="D79" s="34"/>
    </row>
    <row r="80" spans="1:4" ht="15.75" x14ac:dyDescent="0.25">
      <c r="A80" s="48" t="s">
        <v>77</v>
      </c>
      <c r="B80" s="17">
        <v>2064</v>
      </c>
      <c r="C80" s="43"/>
      <c r="D80" s="19"/>
    </row>
    <row r="81" spans="1:4" ht="15.75" x14ac:dyDescent="0.25">
      <c r="A81" s="48" t="s">
        <v>78</v>
      </c>
      <c r="B81" s="17">
        <f>'[1]34тарифы'!D173*B13*1.1194+200</f>
        <v>1978.2699061440064</v>
      </c>
      <c r="C81" s="34"/>
      <c r="D81" s="19"/>
    </row>
    <row r="82" spans="1:4" ht="15.75" x14ac:dyDescent="0.25">
      <c r="A82" s="49" t="s">
        <v>79</v>
      </c>
      <c r="B82" s="24">
        <f>B32+B42+B46+B66+B75+B77</f>
        <v>262409.84263360593</v>
      </c>
      <c r="C82" s="34"/>
      <c r="D82" s="19"/>
    </row>
    <row r="83" spans="1:4" ht="15.75" x14ac:dyDescent="0.25">
      <c r="A83" s="50" t="s">
        <v>80</v>
      </c>
      <c r="B83" s="17">
        <f>B82*0.03</f>
        <v>7872.2952790081781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270282.1379126141</v>
      </c>
      <c r="C84" s="34"/>
      <c r="D84" s="19"/>
    </row>
    <row r="85" spans="1:4" ht="16.5" thickBot="1" x14ac:dyDescent="0.3">
      <c r="A85" s="52" t="s">
        <v>82</v>
      </c>
      <c r="B85" s="53">
        <f>B84*0.2</f>
        <v>54056.427582522825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324338.56549513689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-368633.42635095568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E000000}">
    <filterColumn colId="1">
      <filters>
        <filter val="1 403,53"/>
        <filter val="1 978,27"/>
        <filter val="10 927,81"/>
        <filter val="11 121,54"/>
        <filter val="15 791,52"/>
        <filter val="19 000,00"/>
        <filter val="2 064,00"/>
        <filter val="262 409,84"/>
        <filter val="270 282,14"/>
        <filter val="3 495,69"/>
        <filter val="30 151,98"/>
        <filter val="324 338,57"/>
        <filter val="-368 633,43"/>
        <filter val="4 523,73"/>
        <filter val="4 924,28"/>
        <filter val="43 329,61"/>
        <filter val="49 310,53"/>
        <filter val="5 980,92"/>
        <filter val="50 373,74"/>
        <filter val="53 830,64"/>
        <filter val="54 056,43"/>
        <filter val="6 028,59"/>
        <filter val="7 415,12"/>
        <filter val="7 872,30"/>
        <filter val="8 966,55"/>
        <filter val="80 495,28"/>
        <filter val="82 557,69"/>
        <filter val="996,6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4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111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-463136.7476126749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894.3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5.75" x14ac:dyDescent="0.25">
      <c r="A15" s="16" t="s">
        <v>14</v>
      </c>
      <c r="B15" s="17">
        <f>B13+B14</f>
        <v>894.3</v>
      </c>
      <c r="C15" s="20"/>
      <c r="D15" s="21"/>
    </row>
    <row r="16" spans="1:4" ht="16.5" thickBot="1" x14ac:dyDescent="0.3">
      <c r="A16" s="16" t="s">
        <v>15</v>
      </c>
      <c r="B16" s="17">
        <f>912.7+749.4/3</f>
        <v>1162.5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837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39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/>
      <c r="F23" s="1"/>
      <c r="G23" s="1"/>
    </row>
    <row r="24" spans="1:7" ht="15.75" x14ac:dyDescent="0.25">
      <c r="A24" s="23" t="s">
        <v>22</v>
      </c>
      <c r="B24" s="24">
        <f>VLOOKUP(A5,Лист11!K:M,2,FALSE)</f>
        <v>187668.12</v>
      </c>
      <c r="C24" s="18"/>
      <c r="D24" s="21"/>
      <c r="E24" s="1"/>
      <c r="F24" s="1"/>
      <c r="G24" s="1"/>
    </row>
    <row r="25" spans="1:7" ht="16.5" thickBot="1" x14ac:dyDescent="0.3">
      <c r="A25" s="23">
        <v>0</v>
      </c>
      <c r="B25" s="24">
        <f>VLOOKUP(A5,Лист11!K:M,3,FALSE)</f>
        <v>172718.6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f>B26</f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1510.2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47260.19</v>
      </c>
      <c r="C32" s="18"/>
      <c r="D32" s="21"/>
      <c r="E32" s="30">
        <f>(B86-B26-B24)/1.2/1.03</f>
        <v>46539.112597747022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25000</v>
      </c>
      <c r="C33" s="22"/>
      <c r="D33" s="21">
        <v>15539.76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hidden="1" x14ac:dyDescent="0.25">
      <c r="A36" s="32" t="s">
        <v>32</v>
      </c>
      <c r="B36" s="17"/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5.75" hidden="1" x14ac:dyDescent="0.25">
      <c r="A38" s="33" t="s">
        <v>36</v>
      </c>
      <c r="B38" s="17">
        <v>0</v>
      </c>
      <c r="C38" s="21"/>
      <c r="D38" s="18">
        <v>0</v>
      </c>
      <c r="E38" s="1"/>
      <c r="F38" s="1"/>
      <c r="G38" s="1"/>
    </row>
    <row r="39" spans="1:7" ht="31.5" hidden="1" x14ac:dyDescent="0.25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thickBot="1" x14ac:dyDescent="0.3">
      <c r="A40" s="32" t="s">
        <v>92</v>
      </c>
      <c r="B40" s="17">
        <v>22260.19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33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19959.569386812658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13980.25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('[1]34тарифы'!D163*B15+132.55)*1.1194*1.0952</f>
        <v>5979.3193868126573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14713.3949081792</v>
      </c>
      <c r="C46" s="14"/>
      <c r="D46" s="21"/>
    </row>
    <row r="47" spans="1:7" ht="15.75" hidden="1" x14ac:dyDescent="0.25">
      <c r="A47" s="32"/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450.84*1.1194*1.0952</f>
        <v>552.71490817919994</v>
      </c>
      <c r="C48" s="21">
        <f>6.8*B18</f>
        <v>0</v>
      </c>
      <c r="D48" s="18"/>
      <c r="E48" s="1" t="s">
        <v>45</v>
      </c>
      <c r="F48" s="1"/>
      <c r="G48" s="1"/>
    </row>
    <row r="49" spans="1:5" ht="15.75" x14ac:dyDescent="0.25">
      <c r="A49" s="36" t="s">
        <v>46</v>
      </c>
      <c r="B49" s="17">
        <v>47.2</v>
      </c>
      <c r="C49" s="21"/>
      <c r="D49" s="18"/>
      <c r="E49" s="1"/>
    </row>
    <row r="50" spans="1:5" ht="15.75" hidden="1" x14ac:dyDescent="0.25">
      <c r="A50" s="36" t="s">
        <v>47</v>
      </c>
      <c r="B50" s="17">
        <v>0</v>
      </c>
      <c r="C50" s="21"/>
      <c r="D50" s="18">
        <v>4190</v>
      </c>
      <c r="E50" s="1"/>
    </row>
    <row r="51" spans="1:5" ht="15.75" hidden="1" x14ac:dyDescent="0.25">
      <c r="A51" s="36" t="s">
        <v>93</v>
      </c>
      <c r="B51" s="17">
        <v>0</v>
      </c>
      <c r="C51" s="21"/>
      <c r="D51" s="18"/>
      <c r="E51" s="1"/>
    </row>
    <row r="52" spans="1:5" ht="15.75" hidden="1" x14ac:dyDescent="0.25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5.75" hidden="1" x14ac:dyDescent="0.25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thickBot="1" x14ac:dyDescent="0.3">
      <c r="A54" s="36" t="s">
        <v>51</v>
      </c>
      <c r="B54" s="17">
        <v>10300</v>
      </c>
      <c r="C54" s="21">
        <v>0</v>
      </c>
      <c r="D54" s="37">
        <v>695.13</v>
      </c>
      <c r="E54" s="1"/>
    </row>
    <row r="55" spans="1:5" ht="32.25" hidden="1" thickBot="1" x14ac:dyDescent="0.3">
      <c r="A55" s="116" t="s">
        <v>112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/>
      <c r="C63" s="39">
        <v>1</v>
      </c>
      <c r="D63" s="18">
        <v>0</v>
      </c>
      <c r="E63" s="1"/>
    </row>
    <row r="64" spans="1:5" ht="16.5" thickBot="1" x14ac:dyDescent="0.3">
      <c r="A64" s="32" t="s">
        <v>61</v>
      </c>
      <c r="B64" s="38">
        <v>3813.4799999999996</v>
      </c>
      <c r="C64" s="40">
        <v>12</v>
      </c>
      <c r="D64" s="21">
        <v>1</v>
      </c>
      <c r="E64" s="1">
        <v>1</v>
      </c>
    </row>
    <row r="65" spans="1:4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79613.510282071424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41475.72*1.1194*1.0952</f>
        <v>50847.859044153593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VLOOKUP(A71,[3]Лист1!S$1:T$65536,2,FALSE)*B15*1.0952</f>
        <v>4529.8045810251433</v>
      </c>
      <c r="C71" s="43"/>
      <c r="D71" s="19"/>
    </row>
    <row r="72" spans="1:4" ht="15.75" x14ac:dyDescent="0.25">
      <c r="A72" s="35" t="s">
        <v>69</v>
      </c>
      <c r="B72" s="17">
        <f>VLOOKUP(A72,[3]Лист1!S$1:T$65536,2,FALSE)*B15*1.0952</f>
        <v>15812.734217520085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998.02759809839506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7425.0848412742025</v>
      </c>
      <c r="C74" s="34"/>
      <c r="D74" s="19"/>
    </row>
    <row r="75" spans="1:4" ht="63" x14ac:dyDescent="0.25">
      <c r="A75" s="45" t="s">
        <v>72</v>
      </c>
      <c r="B75" s="29">
        <f>SUM(B76:B76)</f>
        <v>33314.699459030089</v>
      </c>
      <c r="C75" s="34"/>
      <c r="D75" s="19"/>
    </row>
    <row r="76" spans="1:4" ht="15.75" x14ac:dyDescent="0.25">
      <c r="A76" s="35" t="s">
        <v>73</v>
      </c>
      <c r="B76" s="17">
        <f>'[1]34ОЭР'!D226*1.1194*1.0952</f>
        <v>33314.699459030089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3512.7971053429515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1548</v>
      </c>
      <c r="C80" s="43"/>
      <c r="D80" s="19"/>
    </row>
    <row r="81" spans="1:4" ht="15.75" x14ac:dyDescent="0.25">
      <c r="A81" s="48" t="s">
        <v>78</v>
      </c>
      <c r="B81" s="17">
        <f>'[1]34тарифы'!D173*B13*1.1194</f>
        <v>1964.7971053429515</v>
      </c>
      <c r="C81" s="34"/>
      <c r="D81" s="19"/>
    </row>
    <row r="82" spans="1:4" ht="15.75" x14ac:dyDescent="0.25">
      <c r="A82" s="49" t="s">
        <v>79</v>
      </c>
      <c r="B82" s="24">
        <f>B32+B42+B46+B66+B75+B77</f>
        <v>198374.16114143634</v>
      </c>
      <c r="C82" s="34"/>
      <c r="D82" s="19"/>
    </row>
    <row r="83" spans="1:4" ht="15.75" x14ac:dyDescent="0.25">
      <c r="A83" s="50" t="s">
        <v>80</v>
      </c>
      <c r="B83" s="17">
        <f>B82*0.03</f>
        <v>5951.2248342430903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204325.38597567944</v>
      </c>
      <c r="C84" s="34"/>
      <c r="D84" s="19"/>
    </row>
    <row r="85" spans="1:4" ht="16.5" thickBot="1" x14ac:dyDescent="0.3">
      <c r="A85" s="52" t="s">
        <v>82</v>
      </c>
      <c r="B85" s="53">
        <f>B84*0.2</f>
        <v>40865.077195135891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245190.46317081532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-519148.89078349021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1F000000}">
    <filterColumn colId="1">
      <filters>
        <filter val="1 548,00"/>
        <filter val="1 964,80"/>
        <filter val="10 300,00"/>
        <filter val="13 980,25"/>
        <filter val="14 713,39"/>
        <filter val="15 812,73"/>
        <filter val="19 959,57"/>
        <filter val="198 374,16"/>
        <filter val="204 325,39"/>
        <filter val="22 260,19"/>
        <filter val="245 190,46"/>
        <filter val="25 000,00"/>
        <filter val="3 512,80"/>
        <filter val="3 813,48"/>
        <filter val="33 314,70"/>
        <filter val="4 529,80"/>
        <filter val="40 865,08"/>
        <filter val="47 260,19"/>
        <filter val="47,20"/>
        <filter val="5 951,22"/>
        <filter val="5 979,32"/>
        <filter val="50 847,86"/>
        <filter val="-519 148,89"/>
        <filter val="552,71"/>
        <filter val="7 425,08"/>
        <filter val="79 613,51"/>
        <filter val="998,03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>
    <pageSetUpPr fitToPage="1"/>
  </sheetPr>
  <dimension ref="A1:G95"/>
  <sheetViews>
    <sheetView view="pageBreakPreview" topLeftCell="A12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107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83329.346663690929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1308.4000000000001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94.3</v>
      </c>
      <c r="C14" s="19"/>
      <c r="D14" s="18"/>
    </row>
    <row r="15" spans="1:4" ht="15.75" x14ac:dyDescent="0.25">
      <c r="A15" s="16" t="s">
        <v>14</v>
      </c>
      <c r="B15" s="17">
        <f>B13+B14</f>
        <v>1402.7</v>
      </c>
      <c r="C15" s="20"/>
      <c r="D15" s="21"/>
    </row>
    <row r="16" spans="1:4" ht="16.5" thickBot="1" x14ac:dyDescent="0.3">
      <c r="A16" s="16" t="s">
        <v>15</v>
      </c>
      <c r="B16" s="17">
        <f>784.3+1625.1/3</f>
        <v>1326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0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1094.5999999999999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76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297085.03999999998</v>
      </c>
      <c r="C24" s="18"/>
      <c r="D24" s="21"/>
      <c r="E24" s="67">
        <v>16.699999939000001</v>
      </c>
      <c r="F24" s="68">
        <v>18.693979931716601</v>
      </c>
      <c r="G24" s="1"/>
    </row>
    <row r="25" spans="1:7" ht="16.5" thickBot="1" x14ac:dyDescent="0.3">
      <c r="A25" s="23">
        <v>0</v>
      </c>
      <c r="B25" s="24">
        <f>VLOOKUP(A5,Лист11!K:M,3,FALSE)</f>
        <v>398322.67</v>
      </c>
      <c r="C25" s="22"/>
      <c r="D25" s="21"/>
      <c r="E25" s="1"/>
      <c r="F25" s="1"/>
      <c r="G25" s="1"/>
    </row>
    <row r="26" spans="1:7" ht="15.75" x14ac:dyDescent="0.25">
      <c r="A26" s="23" t="s">
        <v>23</v>
      </c>
      <c r="B26" s="24">
        <v>21280.68</v>
      </c>
      <c r="C26" s="15"/>
      <c r="D26" s="18"/>
      <c r="E26" s="1"/>
      <c r="F26" s="1"/>
      <c r="G26" s="1"/>
    </row>
    <row r="27" spans="1:7" ht="16.5" thickBot="1" x14ac:dyDescent="0.3">
      <c r="A27" s="23" t="s">
        <v>24</v>
      </c>
      <c r="B27" s="24">
        <v>40575.03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1510.2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86851.82</v>
      </c>
      <c r="C32" s="18"/>
      <c r="D32" s="21"/>
      <c r="E32" s="30">
        <f>(B86-B26-B24)/1.2/1.03</f>
        <v>1264.0820596831747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30000</v>
      </c>
      <c r="C33" s="22"/>
      <c r="D33" s="21">
        <v>17655.7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x14ac:dyDescent="0.25">
      <c r="A36" s="32" t="s">
        <v>32</v>
      </c>
      <c r="B36" s="17">
        <v>9907.7900000000009</v>
      </c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5.75" hidden="1" x14ac:dyDescent="0.25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1.5" hidden="1" x14ac:dyDescent="0.25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thickBot="1" x14ac:dyDescent="0.3">
      <c r="A40" s="32" t="s">
        <v>422</v>
      </c>
      <c r="B40" s="17">
        <v>46944.03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27123.068093939895</v>
      </c>
      <c r="C42" s="14"/>
      <c r="D42" s="21"/>
      <c r="E42" s="30"/>
      <c r="F42" s="30"/>
      <c r="G42" s="30"/>
    </row>
    <row r="43" spans="1:7" ht="15.75" x14ac:dyDescent="0.25">
      <c r="A43" s="32" t="s">
        <v>38</v>
      </c>
      <c r="B43" s="17">
        <v>8541.2900000000009</v>
      </c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9319.64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('[1]34тарифы'!D163*B15+112.99)*1.1194*1.0952</f>
        <v>9262.1380939398969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6188.3780513888005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625.26*1.1194*1.0952</f>
        <v>766.54805138879988</v>
      </c>
      <c r="C48" s="21"/>
      <c r="D48" s="18"/>
      <c r="E48" s="1" t="s">
        <v>45</v>
      </c>
      <c r="F48" s="1"/>
      <c r="G48" s="1"/>
    </row>
    <row r="49" spans="1:5" ht="16.5" thickBot="1" x14ac:dyDescent="0.3">
      <c r="A49" s="36" t="s">
        <v>46</v>
      </c>
      <c r="B49" s="17">
        <v>19.399999999999999</v>
      </c>
      <c r="C49" s="21"/>
      <c r="D49" s="18"/>
      <c r="E49" s="1"/>
    </row>
    <row r="50" spans="1:5" ht="16.5" hidden="1" thickBot="1" x14ac:dyDescent="0.3">
      <c r="A50" s="36" t="s">
        <v>47</v>
      </c>
      <c r="B50" s="17">
        <v>0</v>
      </c>
      <c r="C50" s="21"/>
      <c r="D50" s="18">
        <v>4190</v>
      </c>
      <c r="E50" s="1"/>
    </row>
    <row r="51" spans="1:5" ht="16.5" hidden="1" thickBot="1" x14ac:dyDescent="0.3">
      <c r="A51" s="36" t="s">
        <v>93</v>
      </c>
      <c r="B51" s="17">
        <v>0</v>
      </c>
      <c r="C51" s="21"/>
      <c r="D51" s="18"/>
      <c r="E51" s="1"/>
    </row>
    <row r="52" spans="1:5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109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110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thickBot="1" x14ac:dyDescent="0.3">
      <c r="A64" s="32" t="s">
        <v>61</v>
      </c>
      <c r="B64" s="38">
        <v>5402.43</v>
      </c>
      <c r="C64" s="40">
        <v>17</v>
      </c>
      <c r="D64" s="21">
        <v>1</v>
      </c>
      <c r="E64" s="1">
        <v>1</v>
      </c>
    </row>
    <row r="65" spans="1:4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78137.043339285781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26932.56*1.1194*1.0952</f>
        <v>33018.4265536128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VLOOKUP(A71,[3]Лист1!S$1:T$65536,2,FALSE)*B15*1.0952</f>
        <v>7104.950112718293</v>
      </c>
      <c r="C71" s="43"/>
      <c r="D71" s="19"/>
    </row>
    <row r="72" spans="1:4" ht="15.75" x14ac:dyDescent="0.25">
      <c r="A72" s="35" t="s">
        <v>69</v>
      </c>
      <c r="B72" s="17">
        <f>VLOOKUP(A72,[3]Лист1!S$1:T$65536,2,FALSE)*B15*1.0952</f>
        <v>24802.104760053029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1565.3956299369549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11646.166282964692</v>
      </c>
      <c r="C74" s="34"/>
      <c r="D74" s="19"/>
    </row>
    <row r="75" spans="1:4" ht="63" x14ac:dyDescent="0.25">
      <c r="A75" s="45" t="s">
        <v>72</v>
      </c>
      <c r="B75" s="29">
        <f>SUM(B76:B76)</f>
        <v>48740.861872073096</v>
      </c>
      <c r="C75" s="34"/>
      <c r="D75" s="19"/>
    </row>
    <row r="76" spans="1:4" ht="15.75" x14ac:dyDescent="0.25">
      <c r="A76" s="35" t="s">
        <v>73</v>
      </c>
      <c r="B76" s="17">
        <f>'[1]34ОЭР'!D228*1.1194*1.0952</f>
        <v>48740.861872073096</v>
      </c>
      <c r="C76" s="34"/>
      <c r="D76" s="19"/>
    </row>
    <row r="77" spans="1:4" s="4" customFormat="1" ht="31.5" x14ac:dyDescent="0.25">
      <c r="A77" s="42" t="s">
        <v>74</v>
      </c>
      <c r="B77" s="29">
        <f>SUM(B78:B81)</f>
        <v>11800.354068691398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thickBot="1" x14ac:dyDescent="0.3">
      <c r="A79" s="47" t="s">
        <v>76</v>
      </c>
      <c r="B79" s="17">
        <f>(B26/1.2)*30%</f>
        <v>5320.17</v>
      </c>
      <c r="C79" s="25"/>
      <c r="D79" s="34"/>
    </row>
    <row r="80" spans="1:4" ht="15.75" x14ac:dyDescent="0.25">
      <c r="A80" s="48" t="s">
        <v>77</v>
      </c>
      <c r="B80" s="17">
        <v>3405.6</v>
      </c>
      <c r="C80" s="43"/>
      <c r="D80" s="19"/>
    </row>
    <row r="81" spans="1:4" ht="15.75" x14ac:dyDescent="0.25">
      <c r="A81" s="48" t="s">
        <v>78</v>
      </c>
      <c r="B81" s="17">
        <f>'[1]34тарифы'!D173*B13*1.1194+200</f>
        <v>3074.5840686913989</v>
      </c>
      <c r="C81" s="34"/>
      <c r="D81" s="19"/>
    </row>
    <row r="82" spans="1:4" ht="15.75" x14ac:dyDescent="0.25">
      <c r="A82" s="49" t="s">
        <v>79</v>
      </c>
      <c r="B82" s="24">
        <f>B32+B42+B46+B66+B75+B77</f>
        <v>258841.52542537896</v>
      </c>
      <c r="C82" s="34"/>
      <c r="D82" s="19"/>
    </row>
    <row r="83" spans="1:4" ht="15.75" x14ac:dyDescent="0.25">
      <c r="A83" s="50" t="s">
        <v>80</v>
      </c>
      <c r="B83" s="17">
        <f>B82*0.03</f>
        <v>7765.2457627613685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266606.77118814032</v>
      </c>
      <c r="C84" s="34"/>
      <c r="D84" s="19"/>
    </row>
    <row r="85" spans="1:4" ht="16.5" thickBot="1" x14ac:dyDescent="0.3">
      <c r="A85" s="52" t="s">
        <v>82</v>
      </c>
      <c r="B85" s="53">
        <f>B84*0.2</f>
        <v>53321.354237628067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319928.12542576838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83277.141237922537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20000000}">
    <filterColumn colId="1">
      <filters>
        <filter val="1 565,40"/>
        <filter val="11 646,17"/>
        <filter val="11 800,35"/>
        <filter val="19,40"/>
        <filter val="24 802,10"/>
        <filter val="25 000,00"/>
        <filter val="253 841,53"/>
        <filter val="261 456,77"/>
        <filter val="27 123,07"/>
        <filter val="3 074,58"/>
        <filter val="3 405,60"/>
        <filter val="313 748,13"/>
        <filter val="33 018,43"/>
        <filter val="46 944,03"/>
        <filter val="48 740,86"/>
        <filter val="5 320,17"/>
        <filter val="5 402,43"/>
        <filter val="52 291,35"/>
        <filter val="6 188,38"/>
        <filter val="7 104,95"/>
        <filter val="7 615,25"/>
        <filter val="766,55"/>
        <filter val="78 137,04"/>
        <filter val="8 541,29"/>
        <filter val="81 851,82"/>
        <filter val="89 457,14"/>
        <filter val="9 262,14"/>
        <filter val="9 319,64"/>
        <filter val="9 907,7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3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>
    <pageSetUpPr fitToPage="1"/>
  </sheetPr>
  <dimension ref="A1:G95"/>
  <sheetViews>
    <sheetView showGridLines="0" view="pageBreakPreview" topLeftCell="A28" zoomScale="70" zoomScaleNormal="80" zoomScaleSheetLayoutView="70" zoomScalePageLayoutView="57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4.5703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4.5703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4.5703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4.5703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4.5703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4.5703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4.5703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4.5703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4.5703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4.5703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4.5703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4.5703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4.5703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4.5703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4.5703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4.5703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4.5703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4.5703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4.5703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4.5703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4.5703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4.5703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4.5703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4.5703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4.5703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4.5703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4.5703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4.5703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4.5703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4.5703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4.5703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4.5703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4.5703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4.5703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4.5703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4.5703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4.5703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4.5703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4.5703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4.5703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4.5703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4.5703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4.5703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4.5703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4.5703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4.5703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4.5703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4.5703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4.5703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4.5703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4.5703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4.5703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4.5703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4.5703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4.5703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4.5703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4.5703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4.5703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4.5703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4.5703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4.5703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4.5703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4.5703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4.5703125" bestFit="1" customWidth="1"/>
  </cols>
  <sheetData>
    <row r="1" spans="1:4" ht="16.5" customHeight="1" x14ac:dyDescent="0.25">
      <c r="A1" s="196" t="s">
        <v>0</v>
      </c>
      <c r="B1" s="196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8" t="s">
        <v>2</v>
      </c>
      <c r="B3" s="198"/>
      <c r="C3" s="1"/>
      <c r="D3" s="1"/>
    </row>
    <row r="4" spans="1:4" s="1" customFormat="1" ht="15.75" x14ac:dyDescent="0.25">
      <c r="A4" s="2" t="s">
        <v>97</v>
      </c>
      <c r="B4" s="2"/>
    </row>
    <row r="5" spans="1:4" ht="15.75" x14ac:dyDescent="0.25">
      <c r="A5" s="69" t="s">
        <v>99</v>
      </c>
      <c r="B5" s="69"/>
      <c r="C5" s="1"/>
      <c r="D5" s="1"/>
    </row>
    <row r="6" spans="1:4" ht="5.25" customHeight="1" x14ac:dyDescent="0.25">
      <c r="A6" s="69"/>
      <c r="B6" s="3"/>
      <c r="C6" s="4"/>
      <c r="D6" s="1"/>
    </row>
    <row r="7" spans="1:4" s="1" customFormat="1" ht="16.5" thickBot="1" x14ac:dyDescent="0.3">
      <c r="A7" s="5"/>
      <c r="B7" s="3"/>
      <c r="C7" s="4"/>
    </row>
    <row r="8" spans="1:4" ht="15.75" customHeight="1" x14ac:dyDescent="0.25">
      <c r="A8" s="210" t="s">
        <v>4</v>
      </c>
      <c r="B8" s="201" t="s">
        <v>5</v>
      </c>
      <c r="C8" s="212" t="s">
        <v>6</v>
      </c>
      <c r="D8" s="207" t="s">
        <v>7</v>
      </c>
    </row>
    <row r="9" spans="1:4" ht="28.5" customHeight="1" thickBot="1" x14ac:dyDescent="0.3">
      <c r="A9" s="211"/>
      <c r="B9" s="202"/>
      <c r="C9" s="213"/>
      <c r="D9" s="208"/>
    </row>
    <row r="10" spans="1:4" ht="16.5" thickBot="1" x14ac:dyDescent="0.3">
      <c r="A10" s="70" t="s">
        <v>8</v>
      </c>
      <c r="B10" s="7">
        <v>-752747.11886823399</v>
      </c>
      <c r="C10" s="71"/>
      <c r="D10" s="72"/>
    </row>
    <row r="11" spans="1:4" ht="16.5" hidden="1" thickBot="1" x14ac:dyDescent="0.3">
      <c r="A11" s="73" t="s">
        <v>9</v>
      </c>
      <c r="B11" s="7"/>
      <c r="C11" s="72"/>
      <c r="D11" s="74"/>
    </row>
    <row r="12" spans="1:4" ht="16.5" thickBot="1" x14ac:dyDescent="0.3">
      <c r="A12" s="75" t="s">
        <v>10</v>
      </c>
      <c r="B12" s="13"/>
      <c r="C12" s="76" t="s">
        <v>11</v>
      </c>
      <c r="D12" s="77" t="s">
        <v>11</v>
      </c>
    </row>
    <row r="13" spans="1:4" s="65" customFormat="1" ht="16.5" hidden="1" thickBot="1" x14ac:dyDescent="0.3">
      <c r="A13" s="78" t="s">
        <v>12</v>
      </c>
      <c r="B13" s="17">
        <v>367.7</v>
      </c>
      <c r="C13" s="77" t="s">
        <v>11</v>
      </c>
      <c r="D13" s="79" t="s">
        <v>11</v>
      </c>
    </row>
    <row r="14" spans="1:4" s="65" customFormat="1" ht="16.5" hidden="1" thickBot="1" x14ac:dyDescent="0.3">
      <c r="A14" s="78" t="s">
        <v>13</v>
      </c>
      <c r="B14" s="17">
        <v>584.5</v>
      </c>
      <c r="C14" s="80"/>
      <c r="D14" s="79"/>
    </row>
    <row r="15" spans="1:4" s="65" customFormat="1" ht="15.75" x14ac:dyDescent="0.25">
      <c r="A15" s="78" t="s">
        <v>14</v>
      </c>
      <c r="B15" s="17">
        <f>B13+B14</f>
        <v>952.2</v>
      </c>
      <c r="C15" s="81"/>
      <c r="D15" s="82"/>
    </row>
    <row r="16" spans="1:4" s="65" customFormat="1" ht="16.5" thickBot="1" x14ac:dyDescent="0.3">
      <c r="A16" s="78" t="s">
        <v>15</v>
      </c>
      <c r="B16" s="17">
        <f>799.6+1290.6/3</f>
        <v>1229.8</v>
      </c>
      <c r="C16" s="83" t="s">
        <v>11</v>
      </c>
      <c r="D16" s="82" t="s">
        <v>11</v>
      </c>
    </row>
    <row r="17" spans="1:7" s="86" customFormat="1" ht="16.5" hidden="1" thickBot="1" x14ac:dyDescent="0.3">
      <c r="A17" s="78" t="s">
        <v>16</v>
      </c>
      <c r="B17" s="17">
        <v>0</v>
      </c>
      <c r="C17" s="84" t="s">
        <v>11</v>
      </c>
      <c r="D17" s="85" t="s">
        <v>11</v>
      </c>
    </row>
    <row r="18" spans="1:7" s="65" customFormat="1" ht="16.5" hidden="1" thickBot="1" x14ac:dyDescent="0.3">
      <c r="A18" s="78" t="s">
        <v>17</v>
      </c>
      <c r="B18" s="17">
        <v>0</v>
      </c>
      <c r="C18" s="82" t="s">
        <v>11</v>
      </c>
      <c r="D18" s="79" t="s">
        <v>11</v>
      </c>
    </row>
    <row r="19" spans="1:7" s="65" customFormat="1" ht="16.5" hidden="1" thickBot="1" x14ac:dyDescent="0.3">
      <c r="A19" s="78" t="s">
        <v>18</v>
      </c>
      <c r="B19" s="17">
        <v>0</v>
      </c>
      <c r="C19" s="82" t="s">
        <v>11</v>
      </c>
      <c r="D19" s="79" t="s">
        <v>11</v>
      </c>
    </row>
    <row r="20" spans="1:7" s="65" customFormat="1" ht="16.5" hidden="1" thickBot="1" x14ac:dyDescent="0.3">
      <c r="A20" s="78" t="s">
        <v>19</v>
      </c>
      <c r="B20" s="17">
        <v>897</v>
      </c>
      <c r="C20" s="82"/>
      <c r="D20" s="79"/>
    </row>
    <row r="21" spans="1:7" s="65" customFormat="1" ht="16.5" hidden="1" thickBot="1" x14ac:dyDescent="0.3">
      <c r="A21" s="78" t="s">
        <v>20</v>
      </c>
      <c r="B21" s="17">
        <v>0</v>
      </c>
      <c r="C21" s="82" t="s">
        <v>11</v>
      </c>
      <c r="D21" s="79" t="s">
        <v>11</v>
      </c>
    </row>
    <row r="22" spans="1:7" s="65" customFormat="1" ht="16.5" hidden="1" thickBot="1" x14ac:dyDescent="0.3">
      <c r="A22" s="78" t="s">
        <v>21</v>
      </c>
      <c r="B22" s="17">
        <v>32</v>
      </c>
      <c r="C22" s="80"/>
      <c r="D22" s="79"/>
    </row>
    <row r="23" spans="1:7" ht="15.75" x14ac:dyDescent="0.25">
      <c r="A23" s="78"/>
      <c r="B23" s="17"/>
      <c r="C23" s="81"/>
      <c r="D23" s="82"/>
      <c r="E23" s="1">
        <v>10</v>
      </c>
      <c r="F23" s="1">
        <v>2</v>
      </c>
      <c r="G23" s="1"/>
    </row>
    <row r="24" spans="1:7" ht="15.75" x14ac:dyDescent="0.25">
      <c r="A24" s="87" t="s">
        <v>22</v>
      </c>
      <c r="B24" s="24">
        <f>VLOOKUP(A5,Лист11!K:M,2,FALSE)</f>
        <v>109979</v>
      </c>
      <c r="C24" s="79"/>
      <c r="D24" s="82"/>
      <c r="E24" s="67">
        <v>21.989999944499999</v>
      </c>
      <c r="F24" s="68">
        <v>24.615605937873298</v>
      </c>
      <c r="G24" s="1"/>
    </row>
    <row r="25" spans="1:7" ht="16.5" thickBot="1" x14ac:dyDescent="0.3">
      <c r="A25" s="87">
        <v>0</v>
      </c>
      <c r="B25" s="24">
        <f>VLOOKUP(A5,Лист11!K:M,3,FALSE)</f>
        <v>109350.21</v>
      </c>
      <c r="C25" s="83"/>
      <c r="D25" s="82"/>
      <c r="E25" s="1"/>
      <c r="F25" s="1"/>
      <c r="G25" s="1"/>
    </row>
    <row r="26" spans="1:7" ht="16.5" hidden="1" thickBot="1" x14ac:dyDescent="0.3">
      <c r="A26" s="87" t="s">
        <v>90</v>
      </c>
      <c r="B26" s="24">
        <v>0</v>
      </c>
      <c r="C26" s="77"/>
      <c r="D26" s="79"/>
      <c r="E26" s="1"/>
      <c r="F26" s="1"/>
      <c r="G26" s="1"/>
    </row>
    <row r="27" spans="1:7" ht="16.5" hidden="1" thickBot="1" x14ac:dyDescent="0.3">
      <c r="A27" s="87" t="s">
        <v>91</v>
      </c>
      <c r="B27" s="24">
        <f>B26</f>
        <v>0</v>
      </c>
      <c r="C27" s="80"/>
      <c r="D27" s="79"/>
      <c r="E27" s="1"/>
      <c r="F27" s="1"/>
      <c r="G27" s="1"/>
    </row>
    <row r="28" spans="1:7" ht="16.5" thickBot="1" x14ac:dyDescent="0.3">
      <c r="A28" s="87" t="s">
        <v>25</v>
      </c>
      <c r="B28" s="24">
        <v>1510.2</v>
      </c>
      <c r="C28" s="76"/>
      <c r="D28" s="82"/>
      <c r="E28" s="1"/>
      <c r="F28" s="1"/>
      <c r="G28" s="1"/>
    </row>
    <row r="29" spans="1:7" ht="16.5" hidden="1" thickBot="1" x14ac:dyDescent="0.3">
      <c r="A29" s="87" t="s">
        <v>26</v>
      </c>
      <c r="B29" s="24"/>
      <c r="C29" s="88"/>
      <c r="D29" s="79"/>
      <c r="E29" s="1"/>
      <c r="F29" s="1"/>
      <c r="G29" s="1"/>
    </row>
    <row r="30" spans="1:7" ht="15.75" x14ac:dyDescent="0.25">
      <c r="A30" s="89"/>
      <c r="B30" s="17"/>
      <c r="C30" s="81"/>
      <c r="D30" s="82"/>
      <c r="E30" s="1"/>
      <c r="F30" s="1"/>
      <c r="G30" s="1"/>
    </row>
    <row r="31" spans="1:7" ht="15.75" x14ac:dyDescent="0.25">
      <c r="A31" s="90" t="s">
        <v>27</v>
      </c>
      <c r="B31" s="17"/>
      <c r="C31" s="79"/>
      <c r="D31" s="82"/>
      <c r="E31" s="1"/>
      <c r="F31" s="1"/>
      <c r="G31" s="1"/>
    </row>
    <row r="32" spans="1:7" s="31" customFormat="1" ht="31.5" x14ac:dyDescent="0.25">
      <c r="A32" s="91" t="s">
        <v>28</v>
      </c>
      <c r="B32" s="29">
        <f>SUM(B33:B41)</f>
        <v>11011.47</v>
      </c>
      <c r="C32" s="79"/>
      <c r="D32" s="82"/>
      <c r="E32" s="30">
        <f>(B86-B26-B24)/1.2/1.03</f>
        <v>38291.52313118348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3" t="s">
        <v>29</v>
      </c>
      <c r="B33" s="17">
        <v>10000</v>
      </c>
      <c r="C33" s="83"/>
      <c r="D33" s="82">
        <v>9308.98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77"/>
      <c r="D34" s="79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82"/>
      <c r="D35" s="79">
        <v>0</v>
      </c>
      <c r="E35" s="1"/>
      <c r="F35" s="1"/>
      <c r="G35" s="1"/>
    </row>
    <row r="36" spans="1:7" ht="16.5" thickBot="1" x14ac:dyDescent="0.3">
      <c r="A36" s="32" t="s">
        <v>32</v>
      </c>
      <c r="B36" s="17">
        <v>1011.47</v>
      </c>
      <c r="C36" s="82" t="s">
        <v>11</v>
      </c>
      <c r="D36" s="79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7">
        <v>0</v>
      </c>
      <c r="C37" s="82"/>
      <c r="D37" s="79">
        <v>0</v>
      </c>
      <c r="E37" s="1"/>
      <c r="F37" s="1"/>
      <c r="G37" s="1"/>
    </row>
    <row r="38" spans="1:7" ht="16.5" hidden="1" thickBot="1" x14ac:dyDescent="0.3">
      <c r="A38" s="33" t="s">
        <v>34</v>
      </c>
      <c r="B38" s="17">
        <v>0</v>
      </c>
      <c r="C38" s="82"/>
      <c r="D38" s="79">
        <v>0</v>
      </c>
      <c r="E38" s="1"/>
      <c r="F38" s="1"/>
      <c r="G38" s="1"/>
    </row>
    <row r="39" spans="1:7" ht="32.25" hidden="1" thickBot="1" x14ac:dyDescent="0.3">
      <c r="A39" s="33" t="s">
        <v>101</v>
      </c>
      <c r="B39" s="17">
        <v>0</v>
      </c>
      <c r="C39" s="82"/>
      <c r="D39" s="79">
        <v>0</v>
      </c>
      <c r="E39" s="1"/>
      <c r="F39" s="1"/>
      <c r="G39" s="1"/>
    </row>
    <row r="40" spans="1:7" ht="16.5" hidden="1" thickBot="1" x14ac:dyDescent="0.3">
      <c r="A40" s="33" t="s">
        <v>92</v>
      </c>
      <c r="B40" s="17">
        <v>0</v>
      </c>
      <c r="C40" s="82"/>
      <c r="D40" s="79"/>
      <c r="E40" s="1"/>
      <c r="F40" s="1"/>
      <c r="G40" s="1"/>
    </row>
    <row r="41" spans="1:7" ht="16.5" hidden="1" thickBot="1" x14ac:dyDescent="0.3">
      <c r="A41" s="33" t="s">
        <v>36</v>
      </c>
      <c r="B41" s="17">
        <v>0</v>
      </c>
      <c r="C41" s="80"/>
      <c r="D41" s="79"/>
      <c r="E41" s="1"/>
      <c r="F41" s="1"/>
      <c r="G41" s="1"/>
    </row>
    <row r="42" spans="1:7" s="31" customFormat="1" ht="48" thickBot="1" x14ac:dyDescent="0.3">
      <c r="A42" s="91" t="s">
        <v>102</v>
      </c>
      <c r="B42" s="29">
        <f>SUM(B43:B45)</f>
        <v>19858.633115065535</v>
      </c>
      <c r="C42" s="76"/>
      <c r="D42" s="82"/>
      <c r="E42" s="30"/>
      <c r="F42" s="30"/>
      <c r="G42" s="30"/>
    </row>
    <row r="43" spans="1:7" ht="15.75" hidden="1" x14ac:dyDescent="0.25">
      <c r="A43" s="33" t="s">
        <v>38</v>
      </c>
      <c r="B43" s="17"/>
      <c r="C43" s="88"/>
      <c r="D43" s="92"/>
      <c r="E43" s="1"/>
      <c r="F43" s="1"/>
      <c r="G43" s="1"/>
    </row>
    <row r="44" spans="1:7" ht="15.75" x14ac:dyDescent="0.25">
      <c r="A44" s="33" t="s">
        <v>39</v>
      </c>
      <c r="B44" s="17">
        <v>13598.02</v>
      </c>
      <c r="C44" s="80"/>
      <c r="D44" s="92"/>
      <c r="E44" s="1"/>
      <c r="F44" s="1"/>
      <c r="G44" s="1"/>
    </row>
    <row r="45" spans="1:7" ht="16.5" thickBot="1" x14ac:dyDescent="0.3">
      <c r="A45" s="44" t="s">
        <v>40</v>
      </c>
      <c r="B45" s="17">
        <f>('[1]34тарифы'!D163*B15+54.81)*1.1194*1.0952</f>
        <v>6260.6131150655356</v>
      </c>
      <c r="C45" s="80"/>
      <c r="D45" s="92"/>
      <c r="E45" s="1"/>
      <c r="F45" s="1"/>
      <c r="G45" s="1"/>
    </row>
    <row r="46" spans="1:7" s="4" customFormat="1" ht="16.5" thickBot="1" x14ac:dyDescent="0.3">
      <c r="A46" s="91" t="s">
        <v>41</v>
      </c>
      <c r="B46" s="29">
        <f>SUM(B47:B65)</f>
        <v>21483.812201443201</v>
      </c>
      <c r="C46" s="76"/>
      <c r="D46" s="82"/>
    </row>
    <row r="47" spans="1:7" ht="15.75" hidden="1" x14ac:dyDescent="0.25">
      <c r="A47" s="33" t="s">
        <v>42</v>
      </c>
      <c r="B47" s="17">
        <v>0</v>
      </c>
      <c r="C47" s="77"/>
      <c r="D47" s="79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466.14*1.1194*1.0952</f>
        <v>571.47220144319988</v>
      </c>
      <c r="C48" s="82"/>
      <c r="D48" s="79"/>
      <c r="E48" s="1" t="s">
        <v>45</v>
      </c>
      <c r="F48" s="1"/>
      <c r="G48" s="1"/>
    </row>
    <row r="49" spans="1:5" ht="16.5" thickBot="1" x14ac:dyDescent="0.3">
      <c r="A49" s="93" t="s">
        <v>103</v>
      </c>
      <c r="B49" s="94">
        <v>19641.18</v>
      </c>
      <c r="C49" s="82"/>
      <c r="D49" s="79"/>
      <c r="E49" s="1"/>
    </row>
    <row r="50" spans="1:5" ht="16.5" hidden="1" thickBot="1" x14ac:dyDescent="0.3">
      <c r="A50" s="93" t="s">
        <v>47</v>
      </c>
      <c r="B50" s="17">
        <v>0</v>
      </c>
      <c r="C50" s="82"/>
      <c r="D50" s="79">
        <v>4190</v>
      </c>
      <c r="E50" s="1"/>
    </row>
    <row r="51" spans="1:5" ht="16.5" hidden="1" thickBot="1" x14ac:dyDescent="0.3">
      <c r="A51" s="93" t="s">
        <v>104</v>
      </c>
      <c r="B51" s="17">
        <v>0</v>
      </c>
      <c r="C51" s="82"/>
      <c r="D51" s="79"/>
      <c r="E51" s="1"/>
    </row>
    <row r="52" spans="1:5" ht="16.5" hidden="1" thickBot="1" x14ac:dyDescent="0.3">
      <c r="A52" s="93" t="s">
        <v>49</v>
      </c>
      <c r="B52" s="17">
        <f>B21*'[1]34тарифы'!D177</f>
        <v>0</v>
      </c>
      <c r="C52" s="82"/>
      <c r="D52" s="79">
        <v>105.14</v>
      </c>
      <c r="E52" s="1"/>
    </row>
    <row r="53" spans="1:5" ht="16.5" hidden="1" thickBot="1" x14ac:dyDescent="0.3">
      <c r="A53" s="93" t="s">
        <v>50</v>
      </c>
      <c r="B53" s="17">
        <v>0</v>
      </c>
      <c r="C53" s="82">
        <v>0</v>
      </c>
      <c r="D53" s="79">
        <v>522.99</v>
      </c>
      <c r="E53" s="1"/>
    </row>
    <row r="54" spans="1:5" ht="16.5" hidden="1" thickBot="1" x14ac:dyDescent="0.3">
      <c r="A54" s="93" t="s">
        <v>51</v>
      </c>
      <c r="B54" s="17">
        <v>0</v>
      </c>
      <c r="C54" s="82">
        <v>0</v>
      </c>
      <c r="D54" s="95">
        <v>695.13</v>
      </c>
      <c r="E54" s="1"/>
    </row>
    <row r="55" spans="1:5" s="65" customFormat="1" ht="16.5" hidden="1" thickBot="1" x14ac:dyDescent="0.3">
      <c r="A55" s="93" t="s">
        <v>52</v>
      </c>
      <c r="B55" s="17">
        <v>0</v>
      </c>
      <c r="C55" s="82"/>
      <c r="D55" s="95"/>
    </row>
    <row r="56" spans="1:5" ht="16.5" hidden="1" thickBot="1" x14ac:dyDescent="0.3">
      <c r="A56" s="93" t="s">
        <v>53</v>
      </c>
      <c r="B56" s="17">
        <v>0</v>
      </c>
      <c r="C56" s="82">
        <v>0</v>
      </c>
      <c r="D56" s="79">
        <f>10695.76/1.18</f>
        <v>9064.203389830509</v>
      </c>
      <c r="E56" s="1"/>
    </row>
    <row r="57" spans="1:5" ht="16.5" hidden="1" thickBot="1" x14ac:dyDescent="0.3">
      <c r="A57" s="93" t="s">
        <v>54</v>
      </c>
      <c r="B57" s="17">
        <v>0</v>
      </c>
      <c r="C57" s="82">
        <v>0</v>
      </c>
      <c r="D57" s="79">
        <f>2300/1.18</f>
        <v>1949.1525423728815</v>
      </c>
      <c r="E57" s="1"/>
    </row>
    <row r="58" spans="1:5" ht="16.5" hidden="1" thickBot="1" x14ac:dyDescent="0.3">
      <c r="A58" s="93" t="s">
        <v>55</v>
      </c>
      <c r="B58" s="17">
        <v>0</v>
      </c>
      <c r="C58" s="80">
        <v>0</v>
      </c>
      <c r="D58" s="79">
        <v>0</v>
      </c>
      <c r="E58" s="1"/>
    </row>
    <row r="59" spans="1:5" ht="16.5" hidden="1" thickBot="1" x14ac:dyDescent="0.3">
      <c r="A59" s="93" t="s">
        <v>56</v>
      </c>
      <c r="B59" s="17">
        <f>B13*'[1]34тарифы'!D184</f>
        <v>0</v>
      </c>
      <c r="C59" s="76"/>
      <c r="D59" s="82"/>
      <c r="E59" s="1"/>
    </row>
    <row r="60" spans="1:5" ht="16.5" hidden="1" thickBot="1" x14ac:dyDescent="0.3">
      <c r="A60" s="33" t="s">
        <v>57</v>
      </c>
      <c r="B60" s="17">
        <v>0</v>
      </c>
      <c r="C60" s="77"/>
      <c r="D60" s="79"/>
      <c r="E60" s="1"/>
    </row>
    <row r="61" spans="1:5" ht="16.5" hidden="1" thickBot="1" x14ac:dyDescent="0.3">
      <c r="A61" s="33" t="s">
        <v>58</v>
      </c>
      <c r="B61" s="17">
        <v>0</v>
      </c>
      <c r="C61" s="82"/>
      <c r="D61" s="79">
        <v>0</v>
      </c>
      <c r="E61" s="1"/>
    </row>
    <row r="62" spans="1:5" ht="16.5" hidden="1" thickBot="1" x14ac:dyDescent="0.3">
      <c r="A62" s="33" t="s">
        <v>94</v>
      </c>
      <c r="B62" s="17">
        <v>0</v>
      </c>
      <c r="C62" s="82"/>
      <c r="D62" s="79">
        <v>0</v>
      </c>
      <c r="E62" s="1"/>
    </row>
    <row r="63" spans="1:5" ht="16.5" hidden="1" thickBot="1" x14ac:dyDescent="0.3">
      <c r="A63" s="33" t="s">
        <v>60</v>
      </c>
      <c r="B63" s="38">
        <v>0</v>
      </c>
      <c r="C63" s="96">
        <v>1</v>
      </c>
      <c r="D63" s="79">
        <v>0</v>
      </c>
      <c r="E63" s="1"/>
    </row>
    <row r="64" spans="1:5" ht="16.5" thickBot="1" x14ac:dyDescent="0.3">
      <c r="A64" s="33" t="s">
        <v>61</v>
      </c>
      <c r="B64" s="38">
        <v>1271.1600000000001</v>
      </c>
      <c r="C64" s="97">
        <v>4</v>
      </c>
      <c r="D64" s="82">
        <v>1</v>
      </c>
      <c r="E64" s="1">
        <v>1</v>
      </c>
    </row>
    <row r="65" spans="1:4" s="1" customFormat="1" ht="16.5" hidden="1" thickBot="1" x14ac:dyDescent="0.3">
      <c r="A65" s="33" t="s">
        <v>62</v>
      </c>
      <c r="B65" s="38">
        <v>0</v>
      </c>
      <c r="C65" s="98"/>
      <c r="D65" s="92">
        <v>0</v>
      </c>
    </row>
    <row r="66" spans="1:4" s="4" customFormat="1" ht="16.5" thickBot="1" x14ac:dyDescent="0.3">
      <c r="A66" s="99" t="s">
        <v>63</v>
      </c>
      <c r="B66" s="29">
        <f>SUM(B67:B74)</f>
        <v>59072.478776373289</v>
      </c>
      <c r="C66" s="76"/>
      <c r="D66" s="80"/>
    </row>
    <row r="67" spans="1:4" ht="16.5" hidden="1" thickBot="1" x14ac:dyDescent="0.3">
      <c r="A67" s="33" t="s">
        <v>64</v>
      </c>
      <c r="B67" s="17">
        <v>0</v>
      </c>
      <c r="C67" s="88"/>
      <c r="D67" s="92"/>
    </row>
    <row r="68" spans="1:4" ht="16.5" thickBot="1" x14ac:dyDescent="0.3">
      <c r="A68" s="33" t="s">
        <v>65</v>
      </c>
      <c r="B68" s="17">
        <f>23201.64*1.1194*1.0952</f>
        <v>28444.442201683196</v>
      </c>
      <c r="C68" s="76"/>
      <c r="D68" s="80"/>
    </row>
    <row r="69" spans="1:4" ht="16.5" hidden="1" thickBot="1" x14ac:dyDescent="0.3">
      <c r="A69" s="32" t="s">
        <v>66</v>
      </c>
      <c r="B69" s="17">
        <v>0</v>
      </c>
      <c r="C69" s="88"/>
      <c r="D69" s="92"/>
    </row>
    <row r="70" spans="1:4" ht="16.5" hidden="1" thickBot="1" x14ac:dyDescent="0.3">
      <c r="A70" s="44" t="s">
        <v>67</v>
      </c>
      <c r="B70" s="17">
        <v>0</v>
      </c>
      <c r="C70" s="80"/>
      <c r="D70" s="92"/>
    </row>
    <row r="71" spans="1:4" ht="15.75" x14ac:dyDescent="0.25">
      <c r="A71" s="44" t="s">
        <v>68</v>
      </c>
      <c r="B71" s="17">
        <f>VLOOKUP(A71,[3]Лист1!S$1:T$65536,2,FALSE)*B15*1.0952</f>
        <v>4823.0794163615583</v>
      </c>
      <c r="C71" s="100"/>
      <c r="D71" s="80"/>
    </row>
    <row r="72" spans="1:4" ht="15.75" x14ac:dyDescent="0.25">
      <c r="A72" s="44" t="s">
        <v>69</v>
      </c>
      <c r="B72" s="17">
        <f>VLOOKUP(A72,[3]Лист1!S$1:T$65536,2,FALSE)*B15*1.0952</f>
        <v>16836.503994098875</v>
      </c>
      <c r="C72" s="92"/>
      <c r="D72" s="80"/>
    </row>
    <row r="73" spans="1:4" s="1" customFormat="1" ht="15.75" x14ac:dyDescent="0.25">
      <c r="A73" s="44" t="s">
        <v>70</v>
      </c>
      <c r="B73" s="17">
        <f>'[1]34тарифы'!D186*B15*1.1194*1.0952</f>
        <v>1062.6432728494819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7905.8098913801823</v>
      </c>
      <c r="C74" s="92"/>
      <c r="D74" s="80"/>
    </row>
    <row r="75" spans="1:4" ht="63" x14ac:dyDescent="0.25">
      <c r="A75" s="101" t="s">
        <v>105</v>
      </c>
      <c r="B75" s="29">
        <f>SUM(B76:B76)</f>
        <v>13697.657375696479</v>
      </c>
      <c r="C75" s="92"/>
      <c r="D75" s="80"/>
    </row>
    <row r="76" spans="1:4" ht="15.75" x14ac:dyDescent="0.25">
      <c r="A76" s="44" t="s">
        <v>73</v>
      </c>
      <c r="B76" s="17">
        <f>'[1]34ОЭР'!D233*1.1194*1.0952</f>
        <v>13697.657375696479</v>
      </c>
      <c r="C76" s="92"/>
      <c r="D76" s="80"/>
    </row>
    <row r="77" spans="1:4" s="4" customFormat="1" ht="32.25" thickBot="1" x14ac:dyDescent="0.3">
      <c r="A77" s="99" t="s">
        <v>74</v>
      </c>
      <c r="B77" s="29">
        <f>SUM(B78:B81)</f>
        <v>2147.2451253881286</v>
      </c>
      <c r="C77" s="92"/>
      <c r="D77" s="80"/>
    </row>
    <row r="78" spans="1:4" ht="32.25" hidden="1" thickBot="1" x14ac:dyDescent="0.3">
      <c r="A78" s="102" t="s">
        <v>106</v>
      </c>
      <c r="B78" s="17"/>
      <c r="C78" s="83"/>
      <c r="D78" s="80"/>
    </row>
    <row r="79" spans="1:4" ht="16.5" hidden="1" thickBot="1" x14ac:dyDescent="0.3">
      <c r="A79" s="47" t="s">
        <v>76</v>
      </c>
      <c r="B79" s="17">
        <f>(B26/1.2)*30%</f>
        <v>0</v>
      </c>
      <c r="C79" s="88"/>
      <c r="D79" s="92"/>
    </row>
    <row r="80" spans="1:4" ht="15.75" x14ac:dyDescent="0.25">
      <c r="A80" s="48" t="s">
        <v>77</v>
      </c>
      <c r="B80" s="17">
        <v>1238.4000000000001</v>
      </c>
      <c r="C80" s="100"/>
      <c r="D80" s="80"/>
    </row>
    <row r="81" spans="1:4" ht="15.75" x14ac:dyDescent="0.25">
      <c r="A81" s="48" t="s">
        <v>78</v>
      </c>
      <c r="B81" s="17">
        <f>'[1]34тарифы'!D173*B13*1.1194+101</f>
        <v>908.84512538812839</v>
      </c>
      <c r="C81" s="92"/>
      <c r="D81" s="80"/>
    </row>
    <row r="82" spans="1:4" ht="15.75" x14ac:dyDescent="0.25">
      <c r="A82" s="103" t="s">
        <v>79</v>
      </c>
      <c r="B82" s="24">
        <f>B32+B42+B46+B66+B75+B77</f>
        <v>127271.29659396663</v>
      </c>
      <c r="C82" s="92"/>
      <c r="D82" s="80"/>
    </row>
    <row r="83" spans="1:4" ht="15.75" x14ac:dyDescent="0.25">
      <c r="A83" s="104" t="s">
        <v>80</v>
      </c>
      <c r="B83" s="17">
        <f>B82*0.03</f>
        <v>3818.1388978189989</v>
      </c>
      <c r="C83" s="92"/>
      <c r="D83" s="80"/>
    </row>
    <row r="84" spans="1:4" s="31" customFormat="1" ht="15.75" x14ac:dyDescent="0.25">
      <c r="A84" s="105" t="s">
        <v>81</v>
      </c>
      <c r="B84" s="29">
        <f>B82+B83</f>
        <v>131089.43549178564</v>
      </c>
      <c r="C84" s="92"/>
      <c r="D84" s="80"/>
    </row>
    <row r="85" spans="1:4" ht="16.5" thickBot="1" x14ac:dyDescent="0.3">
      <c r="A85" s="106" t="s">
        <v>82</v>
      </c>
      <c r="B85" s="53">
        <f>B84*0.2</f>
        <v>26217.887098357129</v>
      </c>
      <c r="C85" s="92"/>
      <c r="D85" s="80"/>
    </row>
    <row r="86" spans="1:4" s="4" customFormat="1" ht="16.5" thickBot="1" x14ac:dyDescent="0.3">
      <c r="A86" s="107" t="s">
        <v>83</v>
      </c>
      <c r="B86" s="55">
        <f>B84+B85</f>
        <v>157307.32259014278</v>
      </c>
      <c r="C86" s="76"/>
      <c r="D86" s="108"/>
    </row>
    <row r="87" spans="1:4" s="4" customFormat="1" ht="16.5" thickBot="1" x14ac:dyDescent="0.3">
      <c r="A87" s="109" t="s">
        <v>84</v>
      </c>
      <c r="B87" s="55">
        <f>B10+B24+B26+B28+B29-B86</f>
        <v>-798565.24145837687</v>
      </c>
      <c r="C87" s="110"/>
      <c r="D87" s="111"/>
    </row>
    <row r="88" spans="1:4" s="4" customFormat="1" ht="16.5" hidden="1" thickBot="1" x14ac:dyDescent="0.3">
      <c r="A88" s="112" t="s">
        <v>85</v>
      </c>
      <c r="B88" s="55"/>
      <c r="C88" s="113"/>
      <c r="D88" s="111"/>
    </row>
    <row r="89" spans="1:4" s="4" customFormat="1" ht="16.5" hidden="1" thickBot="1" x14ac:dyDescent="0.3">
      <c r="A89" s="114" t="s">
        <v>86</v>
      </c>
      <c r="B89" s="55"/>
      <c r="C89" s="111"/>
      <c r="D89" s="111"/>
    </row>
    <row r="90" spans="1:4" s="4" customFormat="1" ht="15.75" x14ac:dyDescent="0.25">
      <c r="A90" s="115"/>
      <c r="B90" s="64"/>
      <c r="C90" s="111"/>
      <c r="D90" s="111"/>
    </row>
    <row r="91" spans="1:4" ht="15.75" x14ac:dyDescent="0.25">
      <c r="A91" s="128"/>
      <c r="B91" s="65"/>
      <c r="C91" s="1"/>
      <c r="D91" s="1"/>
    </row>
    <row r="92" spans="1:4" ht="15.75" x14ac:dyDescent="0.25">
      <c r="A92" s="193" t="s">
        <v>413</v>
      </c>
      <c r="B92" s="193"/>
      <c r="C92" s="1"/>
      <c r="D92" s="1"/>
    </row>
    <row r="93" spans="1:4" ht="15.75" x14ac:dyDescent="0.25">
      <c r="A93" s="128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21000000}">
    <filterColumn colId="1">
      <filters>
        <filter val="1 011,47"/>
        <filter val="1 062,64"/>
        <filter val="1 238,40"/>
        <filter val="1 271,16"/>
        <filter val="10 000,00"/>
        <filter val="11 011,47"/>
        <filter val="127 271,30"/>
        <filter val="13 598,02"/>
        <filter val="13 697,66"/>
        <filter val="131 089,44"/>
        <filter val="157 307,32"/>
        <filter val="16 836,50"/>
        <filter val="19 641,18"/>
        <filter val="19 858,63"/>
        <filter val="2 147,25"/>
        <filter val="21 483,81"/>
        <filter val="26 217,89"/>
        <filter val="28 444,44"/>
        <filter val="3 818,14"/>
        <filter val="4 823,08"/>
        <filter val="571,47"/>
        <filter val="59 072,48"/>
        <filter val="6 260,61"/>
        <filter val="7 905,81"/>
        <filter val="-798 565,24"/>
        <filter val="908,85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>
    <pageSetUpPr fitToPage="1"/>
  </sheetPr>
  <dimension ref="A1:G90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91.57031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91.57031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91.57031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91.57031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91.57031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91.57031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91.57031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91.57031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91.57031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91.57031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91.57031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91.57031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91.57031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91.57031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91.57031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91.57031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91.57031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91.57031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91.57031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91.57031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91.57031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91.57031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91.57031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91.57031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91.57031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91.57031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91.57031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91.57031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91.57031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91.57031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91.57031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91.57031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91.57031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91.57031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91.57031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91.57031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91.57031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91.57031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91.57031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91.57031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91.57031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91.57031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91.57031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91.57031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91.57031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91.57031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91.57031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91.57031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91.57031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91.57031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91.57031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91.57031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91.57031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91.57031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91.57031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91.57031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91.57031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91.57031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91.57031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91.57031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91.57031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91.57031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91.57031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6" t="s">
        <v>0</v>
      </c>
      <c r="B1" s="196"/>
      <c r="C1" s="65"/>
      <c r="D1" s="65"/>
    </row>
    <row r="2" spans="1:4" ht="16.5" x14ac:dyDescent="0.25">
      <c r="A2" s="198" t="s">
        <v>1</v>
      </c>
      <c r="B2" s="198"/>
      <c r="C2" s="65"/>
      <c r="D2" s="65"/>
    </row>
    <row r="3" spans="1:4" ht="16.5" x14ac:dyDescent="0.25">
      <c r="A3" s="198" t="s">
        <v>2</v>
      </c>
      <c r="B3" s="198"/>
      <c r="C3" s="65"/>
      <c r="D3" s="65"/>
    </row>
    <row r="4" spans="1:4" ht="15.75" x14ac:dyDescent="0.25">
      <c r="A4" s="69" t="s">
        <v>97</v>
      </c>
      <c r="B4" s="69"/>
      <c r="C4" s="65"/>
      <c r="D4" s="65"/>
    </row>
    <row r="5" spans="1:4" ht="15.75" x14ac:dyDescent="0.25">
      <c r="A5" s="69" t="s">
        <v>182</v>
      </c>
      <c r="B5" s="182"/>
      <c r="C5" s="65"/>
      <c r="D5" s="65"/>
    </row>
    <row r="6" spans="1:4" ht="5.25" customHeight="1" x14ac:dyDescent="0.25">
      <c r="A6" s="69"/>
      <c r="B6" s="3"/>
      <c r="C6" s="3"/>
      <c r="D6" s="65"/>
    </row>
    <row r="7" spans="1:4" ht="16.5" thickBot="1" x14ac:dyDescent="0.3">
      <c r="A7" s="168"/>
      <c r="B7" s="3"/>
      <c r="C7" s="3"/>
      <c r="D7" s="65"/>
    </row>
    <row r="8" spans="1:4" ht="15.75" customHeight="1" x14ac:dyDescent="0.25">
      <c r="A8" s="210" t="s">
        <v>4</v>
      </c>
      <c r="B8" s="201" t="s">
        <v>5</v>
      </c>
      <c r="C8" s="207" t="s">
        <v>6</v>
      </c>
      <c r="D8" s="207" t="s">
        <v>7</v>
      </c>
    </row>
    <row r="9" spans="1:4" ht="28.5" customHeight="1" thickBot="1" x14ac:dyDescent="0.3">
      <c r="A9" s="211"/>
      <c r="B9" s="202"/>
      <c r="C9" s="208"/>
      <c r="D9" s="208"/>
    </row>
    <row r="10" spans="1:4" ht="16.5" thickBot="1" x14ac:dyDescent="0.3">
      <c r="A10" s="70" t="s">
        <v>8</v>
      </c>
      <c r="B10" s="176">
        <v>-191429.72</v>
      </c>
      <c r="C10" s="72"/>
      <c r="D10" s="72"/>
    </row>
    <row r="11" spans="1:4" ht="16.5" hidden="1" thickBot="1" x14ac:dyDescent="0.3">
      <c r="A11" s="73" t="s">
        <v>9</v>
      </c>
      <c r="B11" s="130"/>
      <c r="C11" s="74"/>
      <c r="D11" s="74"/>
    </row>
    <row r="12" spans="1:4" ht="15.75" x14ac:dyDescent="0.25">
      <c r="A12" s="75" t="s">
        <v>10</v>
      </c>
      <c r="B12" s="177"/>
      <c r="C12" s="77" t="s">
        <v>11</v>
      </c>
      <c r="D12" s="133" t="s">
        <v>11</v>
      </c>
    </row>
    <row r="13" spans="1:4" ht="15.75" hidden="1" x14ac:dyDescent="0.25">
      <c r="A13" s="78" t="s">
        <v>12</v>
      </c>
      <c r="B13" s="135">
        <v>190.9</v>
      </c>
      <c r="C13" s="82" t="s">
        <v>11</v>
      </c>
      <c r="D13" s="79" t="s">
        <v>11</v>
      </c>
    </row>
    <row r="14" spans="1:4" ht="15.75" hidden="1" x14ac:dyDescent="0.25">
      <c r="A14" s="78" t="s">
        <v>13</v>
      </c>
      <c r="B14" s="135">
        <v>0</v>
      </c>
      <c r="C14" s="82"/>
      <c r="D14" s="79"/>
    </row>
    <row r="15" spans="1:4" ht="15.75" x14ac:dyDescent="0.25">
      <c r="A15" s="78" t="s">
        <v>14</v>
      </c>
      <c r="B15" s="17">
        <f>B13+B14</f>
        <v>190.9</v>
      </c>
      <c r="C15" s="82"/>
      <c r="D15" s="79"/>
    </row>
    <row r="16" spans="1:4" ht="15.75" x14ac:dyDescent="0.25">
      <c r="A16" s="78" t="s">
        <v>15</v>
      </c>
      <c r="B16" s="17">
        <f>286+226/3</f>
        <v>361.33333333333331</v>
      </c>
      <c r="C16" s="82" t="s">
        <v>11</v>
      </c>
      <c r="D16" s="79" t="s">
        <v>11</v>
      </c>
    </row>
    <row r="17" spans="1:7" ht="15.75" hidden="1" x14ac:dyDescent="0.25">
      <c r="A17" s="78" t="s">
        <v>16</v>
      </c>
      <c r="B17" s="135">
        <v>0</v>
      </c>
      <c r="C17" s="82" t="s">
        <v>11</v>
      </c>
      <c r="D17" s="79" t="s">
        <v>11</v>
      </c>
      <c r="E17" s="65"/>
      <c r="F17" s="65"/>
      <c r="G17" s="65"/>
    </row>
    <row r="18" spans="1:7" ht="15.75" hidden="1" x14ac:dyDescent="0.25">
      <c r="A18" s="78" t="s">
        <v>17</v>
      </c>
      <c r="B18" s="135">
        <v>0</v>
      </c>
      <c r="C18" s="82" t="s">
        <v>11</v>
      </c>
      <c r="D18" s="79" t="s">
        <v>11</v>
      </c>
      <c r="E18" s="65"/>
      <c r="F18" s="65"/>
      <c r="G18" s="65"/>
    </row>
    <row r="19" spans="1:7" ht="15.75" hidden="1" x14ac:dyDescent="0.25">
      <c r="A19" s="78" t="s">
        <v>18</v>
      </c>
      <c r="B19" s="135">
        <v>0</v>
      </c>
      <c r="C19" s="82" t="s">
        <v>11</v>
      </c>
      <c r="D19" s="79" t="s">
        <v>11</v>
      </c>
      <c r="E19" s="65"/>
      <c r="F19" s="65"/>
      <c r="G19" s="65"/>
    </row>
    <row r="20" spans="1:7" ht="15.75" hidden="1" x14ac:dyDescent="0.25">
      <c r="A20" s="78" t="s">
        <v>19</v>
      </c>
      <c r="B20" s="135">
        <v>101</v>
      </c>
      <c r="C20" s="82"/>
      <c r="D20" s="79"/>
      <c r="E20" s="65"/>
      <c r="F20" s="65"/>
      <c r="G20" s="65"/>
    </row>
    <row r="21" spans="1:7" ht="15.75" hidden="1" x14ac:dyDescent="0.25">
      <c r="A21" s="78" t="s">
        <v>20</v>
      </c>
      <c r="B21" s="135">
        <v>0</v>
      </c>
      <c r="C21" s="82" t="s">
        <v>11</v>
      </c>
      <c r="D21" s="79" t="s">
        <v>11</v>
      </c>
      <c r="E21" s="65"/>
      <c r="F21" s="65"/>
      <c r="G21" s="65"/>
    </row>
    <row r="22" spans="1:7" ht="15.75" hidden="1" x14ac:dyDescent="0.25">
      <c r="A22" s="78" t="s">
        <v>21</v>
      </c>
      <c r="B22" s="135">
        <v>10</v>
      </c>
      <c r="C22" s="82"/>
      <c r="D22" s="79"/>
      <c r="E22" s="65"/>
      <c r="F22" s="65"/>
      <c r="G22" s="65"/>
    </row>
    <row r="23" spans="1:7" ht="15.75" x14ac:dyDescent="0.25">
      <c r="A23" s="78"/>
      <c r="B23" s="17"/>
      <c r="C23" s="82"/>
      <c r="D23" s="79"/>
      <c r="E23" s="65">
        <v>10</v>
      </c>
      <c r="F23" s="65">
        <v>2</v>
      </c>
      <c r="G23" s="65"/>
    </row>
    <row r="24" spans="1:7" ht="15.75" x14ac:dyDescent="0.25">
      <c r="A24" s="87" t="s">
        <v>153</v>
      </c>
      <c r="B24" s="24">
        <f>VLOOKUP(A5,Лист11!K:M,2,FALSE)</f>
        <v>39765.22</v>
      </c>
      <c r="C24" s="82"/>
      <c r="D24" s="79"/>
      <c r="E24" s="67">
        <v>15.1299999425</v>
      </c>
      <c r="F24" s="68">
        <v>16.936521935634499</v>
      </c>
      <c r="G24" s="65"/>
    </row>
    <row r="25" spans="1:7" ht="15.75" x14ac:dyDescent="0.25">
      <c r="A25" s="87" t="s">
        <v>154</v>
      </c>
      <c r="B25" s="24">
        <f>VLOOKUP(A5,Лист11!K:M,3,FALSE)</f>
        <v>40297.43</v>
      </c>
      <c r="C25" s="82"/>
      <c r="D25" s="79"/>
      <c r="E25" s="65"/>
      <c r="F25" s="65"/>
      <c r="G25" s="65"/>
    </row>
    <row r="26" spans="1:7" ht="15.75" hidden="1" x14ac:dyDescent="0.25">
      <c r="A26" s="87" t="s">
        <v>160</v>
      </c>
      <c r="B26" s="24"/>
      <c r="C26" s="82"/>
      <c r="D26" s="79"/>
      <c r="E26" s="65"/>
      <c r="F26" s="65"/>
      <c r="G26" s="65"/>
    </row>
    <row r="27" spans="1:7" ht="15.75" hidden="1" x14ac:dyDescent="0.25">
      <c r="A27" s="87" t="s">
        <v>91</v>
      </c>
      <c r="B27" s="24">
        <f>B26</f>
        <v>0</v>
      </c>
      <c r="C27" s="82"/>
      <c r="D27" s="79"/>
      <c r="E27" s="65"/>
      <c r="F27" s="65"/>
      <c r="G27" s="65"/>
    </row>
    <row r="28" spans="1:7" ht="15.75" hidden="1" x14ac:dyDescent="0.25">
      <c r="A28" s="87" t="s">
        <v>25</v>
      </c>
      <c r="B28" s="24"/>
      <c r="C28" s="82"/>
      <c r="D28" s="79"/>
      <c r="E28" s="65"/>
      <c r="F28" s="65"/>
      <c r="G28" s="65"/>
    </row>
    <row r="29" spans="1:7" ht="15.75" hidden="1" x14ac:dyDescent="0.25">
      <c r="A29" s="87" t="s">
        <v>26</v>
      </c>
      <c r="B29" s="135"/>
      <c r="C29" s="82"/>
      <c r="D29" s="79"/>
      <c r="E29" s="65"/>
      <c r="F29" s="65"/>
      <c r="G29" s="65"/>
    </row>
    <row r="30" spans="1:7" ht="15.75" hidden="1" x14ac:dyDescent="0.25">
      <c r="A30" s="89"/>
      <c r="B30" s="17"/>
      <c r="C30" s="82"/>
      <c r="D30" s="79"/>
      <c r="E30" s="65"/>
      <c r="F30" s="65"/>
      <c r="G30" s="65"/>
    </row>
    <row r="31" spans="1:7" ht="15.75" x14ac:dyDescent="0.25">
      <c r="A31" s="90" t="s">
        <v>27</v>
      </c>
      <c r="B31" s="17"/>
      <c r="C31" s="82"/>
      <c r="D31" s="79"/>
      <c r="E31" s="65"/>
      <c r="F31" s="65"/>
      <c r="G31" s="65"/>
    </row>
    <row r="32" spans="1:7" s="141" customFormat="1" ht="31.5" x14ac:dyDescent="0.25">
      <c r="A32" s="91" t="s">
        <v>28</v>
      </c>
      <c r="B32" s="29">
        <f>SUM(B33:B41)</f>
        <v>19223.11</v>
      </c>
      <c r="C32" s="82"/>
      <c r="D32" s="79"/>
      <c r="E32" s="140">
        <f>(B24-B72)/1.2/1.03</f>
        <v>-90849.905509385091</v>
      </c>
      <c r="F32" s="140" t="e">
        <f>(#REF!-#REF!)/1.2/1.03</f>
        <v>#REF!</v>
      </c>
      <c r="G32" s="140" t="e">
        <f>(#REF!-#REF!)/1.2/1.03</f>
        <v>#REF!</v>
      </c>
    </row>
    <row r="33" spans="1:7" ht="15.75" x14ac:dyDescent="0.25">
      <c r="A33" s="33" t="s">
        <v>29</v>
      </c>
      <c r="B33" s="17">
        <v>9000</v>
      </c>
      <c r="C33" s="82"/>
      <c r="D33" s="79">
        <v>0</v>
      </c>
      <c r="E33" s="65"/>
      <c r="F33" s="65"/>
      <c r="G33" s="65"/>
    </row>
    <row r="34" spans="1:7" ht="15.75" hidden="1" x14ac:dyDescent="0.25">
      <c r="A34" s="33" t="s">
        <v>161</v>
      </c>
      <c r="B34" s="17">
        <v>0</v>
      </c>
      <c r="C34" s="82"/>
      <c r="D34" s="79">
        <v>0</v>
      </c>
      <c r="E34" s="65"/>
      <c r="F34" s="65"/>
      <c r="G34" s="65"/>
    </row>
    <row r="35" spans="1:7" ht="15.75" x14ac:dyDescent="0.25">
      <c r="A35" s="173" t="s">
        <v>422</v>
      </c>
      <c r="B35" s="187">
        <v>10223.11</v>
      </c>
      <c r="C35" s="82"/>
      <c r="D35" s="79">
        <v>0</v>
      </c>
      <c r="E35" s="65"/>
      <c r="F35" s="65"/>
      <c r="G35" s="65"/>
    </row>
    <row r="36" spans="1:7" ht="15.75" hidden="1" x14ac:dyDescent="0.25">
      <c r="A36" s="173" t="s">
        <v>183</v>
      </c>
      <c r="B36" s="187"/>
      <c r="C36" s="82" t="s">
        <v>11</v>
      </c>
      <c r="D36" s="79">
        <v>0</v>
      </c>
      <c r="E36" s="65"/>
      <c r="F36" s="65"/>
      <c r="G36" s="65"/>
    </row>
    <row r="37" spans="1:7" ht="15.75" hidden="1" x14ac:dyDescent="0.25">
      <c r="A37" s="33" t="s">
        <v>33</v>
      </c>
      <c r="B37" s="17">
        <v>0</v>
      </c>
      <c r="C37" s="82"/>
      <c r="D37" s="79">
        <v>0</v>
      </c>
      <c r="E37" s="65"/>
      <c r="F37" s="65"/>
      <c r="G37" s="65"/>
    </row>
    <row r="38" spans="1:7" ht="15.75" hidden="1" x14ac:dyDescent="0.25">
      <c r="A38" s="33" t="s">
        <v>34</v>
      </c>
      <c r="B38" s="17">
        <v>0</v>
      </c>
      <c r="C38" s="82"/>
      <c r="D38" s="79">
        <v>0</v>
      </c>
      <c r="E38" s="65"/>
      <c r="F38" s="65"/>
      <c r="G38" s="65"/>
    </row>
    <row r="39" spans="1:7" ht="15.75" hidden="1" x14ac:dyDescent="0.25">
      <c r="A39" s="33" t="s">
        <v>162</v>
      </c>
      <c r="B39" s="17">
        <v>0</v>
      </c>
      <c r="C39" s="82"/>
      <c r="D39" s="79">
        <v>0</v>
      </c>
      <c r="E39" s="65"/>
      <c r="F39" s="65"/>
      <c r="G39" s="65"/>
    </row>
    <row r="40" spans="1:7" ht="15.75" hidden="1" x14ac:dyDescent="0.25">
      <c r="A40" s="33" t="s">
        <v>92</v>
      </c>
      <c r="B40" s="17"/>
      <c r="C40" s="82"/>
      <c r="D40" s="79"/>
      <c r="E40" s="65"/>
      <c r="F40" s="65"/>
      <c r="G40" s="65"/>
    </row>
    <row r="41" spans="1:7" ht="15.75" hidden="1" x14ac:dyDescent="0.25">
      <c r="A41" s="33" t="s">
        <v>31</v>
      </c>
      <c r="B41" s="135"/>
      <c r="C41" s="82"/>
      <c r="D41" s="79"/>
      <c r="E41" s="65"/>
      <c r="F41" s="65"/>
      <c r="G41" s="65"/>
    </row>
    <row r="42" spans="1:7" s="141" customFormat="1" ht="47.25" x14ac:dyDescent="0.25">
      <c r="A42" s="91" t="s">
        <v>102</v>
      </c>
      <c r="B42" s="29">
        <f>SUM(B43:B45)</f>
        <v>74057.790799999988</v>
      </c>
      <c r="C42" s="82"/>
      <c r="D42" s="79"/>
      <c r="E42" s="140"/>
      <c r="F42" s="140"/>
      <c r="G42" s="140"/>
    </row>
    <row r="43" spans="1:7" ht="15.75" hidden="1" x14ac:dyDescent="0.25">
      <c r="A43" s="33" t="s">
        <v>38</v>
      </c>
      <c r="B43" s="17"/>
      <c r="C43" s="80"/>
      <c r="D43" s="92"/>
      <c r="E43" s="65"/>
      <c r="F43" s="65"/>
      <c r="G43" s="65"/>
    </row>
    <row r="44" spans="1:7" ht="15.75" x14ac:dyDescent="0.25">
      <c r="A44" s="33" t="s">
        <v>39</v>
      </c>
      <c r="B44" s="17">
        <v>70494.009999999995</v>
      </c>
      <c r="C44" s="80"/>
      <c r="D44" s="92"/>
      <c r="E44" s="65"/>
      <c r="F44" s="65"/>
      <c r="G44" s="65"/>
    </row>
    <row r="45" spans="1:7" ht="15.75" x14ac:dyDescent="0.25">
      <c r="A45" s="44" t="s">
        <v>40</v>
      </c>
      <c r="B45" s="135">
        <f>3254*1.0952</f>
        <v>3563.7808</v>
      </c>
      <c r="C45" s="80"/>
      <c r="D45" s="92"/>
      <c r="E45" s="65"/>
      <c r="F45" s="65"/>
      <c r="G45" s="65"/>
    </row>
    <row r="46" spans="1:7" s="3" customFormat="1" ht="15.75" x14ac:dyDescent="0.25">
      <c r="A46" s="91" t="s">
        <v>41</v>
      </c>
      <c r="B46" s="29">
        <f>SUM(B47:B53)</f>
        <v>355.94</v>
      </c>
      <c r="C46" s="82"/>
      <c r="D46" s="79"/>
    </row>
    <row r="47" spans="1:7" ht="15.75" hidden="1" x14ac:dyDescent="0.25">
      <c r="A47" s="33" t="s">
        <v>180</v>
      </c>
      <c r="B47" s="17">
        <v>0</v>
      </c>
      <c r="C47" s="82"/>
      <c r="D47" s="79"/>
      <c r="E47" s="65" t="s">
        <v>43</v>
      </c>
      <c r="F47" s="65"/>
      <c r="G47" s="65"/>
    </row>
    <row r="48" spans="1:7" ht="15.75" x14ac:dyDescent="0.25">
      <c r="A48" s="33" t="s">
        <v>163</v>
      </c>
      <c r="B48" s="17">
        <f>325*1.0952</f>
        <v>355.94</v>
      </c>
      <c r="C48" s="82"/>
      <c r="D48" s="79"/>
      <c r="E48" s="65" t="s">
        <v>45</v>
      </c>
      <c r="F48" s="65"/>
      <c r="G48" s="65"/>
    </row>
    <row r="49" spans="1:5" ht="15.75" hidden="1" x14ac:dyDescent="0.25">
      <c r="A49" s="33" t="s">
        <v>58</v>
      </c>
      <c r="B49" s="17">
        <v>0</v>
      </c>
      <c r="C49" s="82"/>
      <c r="D49" s="79">
        <v>0</v>
      </c>
      <c r="E49" s="65"/>
    </row>
    <row r="50" spans="1:5" ht="15.75" hidden="1" x14ac:dyDescent="0.25">
      <c r="A50" s="33" t="s">
        <v>94</v>
      </c>
      <c r="B50" s="17">
        <v>0</v>
      </c>
      <c r="C50" s="82"/>
      <c r="D50" s="79">
        <v>0</v>
      </c>
      <c r="E50" s="65"/>
    </row>
    <row r="51" spans="1:5" ht="15.75" hidden="1" x14ac:dyDescent="0.25">
      <c r="A51" s="33" t="s">
        <v>60</v>
      </c>
      <c r="B51" s="146">
        <v>0</v>
      </c>
      <c r="C51" s="147">
        <v>1</v>
      </c>
      <c r="D51" s="79">
        <v>0</v>
      </c>
      <c r="E51" s="65"/>
    </row>
    <row r="52" spans="1:5" ht="15.75" hidden="1" x14ac:dyDescent="0.25">
      <c r="A52" s="33" t="s">
        <v>104</v>
      </c>
      <c r="B52" s="148"/>
      <c r="C52" s="147">
        <v>4</v>
      </c>
      <c r="D52" s="79">
        <v>0</v>
      </c>
      <c r="E52" s="65">
        <v>1</v>
      </c>
    </row>
    <row r="53" spans="1:5" ht="15.75" hidden="1" x14ac:dyDescent="0.25">
      <c r="A53" s="33" t="s">
        <v>62</v>
      </c>
      <c r="B53" s="146">
        <v>0</v>
      </c>
      <c r="C53" s="96"/>
      <c r="D53" s="92">
        <v>0</v>
      </c>
      <c r="E53" s="65"/>
    </row>
    <row r="54" spans="1:5" s="3" customFormat="1" ht="15.75" x14ac:dyDescent="0.25">
      <c r="A54" s="99" t="s">
        <v>63</v>
      </c>
      <c r="B54" s="139">
        <f>SUM(B55:B60)</f>
        <v>21999.477599999998</v>
      </c>
      <c r="C54" s="80"/>
      <c r="D54" s="92"/>
    </row>
    <row r="55" spans="1:5" ht="15.75" hidden="1" x14ac:dyDescent="0.25">
      <c r="A55" s="33" t="s">
        <v>64</v>
      </c>
      <c r="B55" s="17">
        <v>0</v>
      </c>
      <c r="C55" s="80"/>
      <c r="D55" s="92"/>
      <c r="E55" s="65"/>
    </row>
    <row r="56" spans="1:5" ht="15.75" x14ac:dyDescent="0.25">
      <c r="A56" s="33" t="s">
        <v>65</v>
      </c>
      <c r="B56" s="135">
        <f>14523*1.0952</f>
        <v>15905.589599999999</v>
      </c>
      <c r="C56" s="80"/>
      <c r="D56" s="92"/>
      <c r="E56" s="65"/>
    </row>
    <row r="57" spans="1:5" ht="15.75" x14ac:dyDescent="0.25">
      <c r="A57" s="44" t="s">
        <v>68</v>
      </c>
      <c r="B57" s="135">
        <f>5.1*B15</f>
        <v>973.58999999999992</v>
      </c>
      <c r="C57" s="80"/>
      <c r="D57" s="92"/>
      <c r="E57" s="65"/>
    </row>
    <row r="58" spans="1:5" ht="15.75" x14ac:dyDescent="0.25">
      <c r="A58" s="44" t="s">
        <v>69</v>
      </c>
      <c r="B58" s="135">
        <f>17.7*B15</f>
        <v>3378.93</v>
      </c>
      <c r="C58" s="80"/>
      <c r="D58" s="92"/>
      <c r="E58" s="65"/>
    </row>
    <row r="59" spans="1:5" ht="15.75" x14ac:dyDescent="0.25">
      <c r="A59" s="44" t="s">
        <v>70</v>
      </c>
      <c r="B59" s="135">
        <f>221*1.0952</f>
        <v>242.03919999999999</v>
      </c>
      <c r="C59" s="80"/>
      <c r="D59" s="92"/>
      <c r="E59" s="65"/>
    </row>
    <row r="60" spans="1:5" ht="15.75" x14ac:dyDescent="0.25">
      <c r="A60" s="44" t="s">
        <v>71</v>
      </c>
      <c r="B60" s="17">
        <f>1369*1.0952</f>
        <v>1499.3288</v>
      </c>
      <c r="C60" s="80"/>
      <c r="D60" s="92"/>
      <c r="E60" s="65"/>
    </row>
    <row r="61" spans="1:5" ht="63" x14ac:dyDescent="0.25">
      <c r="A61" s="101" t="s">
        <v>164</v>
      </c>
      <c r="B61" s="29">
        <f>SUM(B62:B62)</f>
        <v>6572.2951999999996</v>
      </c>
      <c r="C61" s="80"/>
      <c r="D61" s="92"/>
      <c r="E61" s="65"/>
    </row>
    <row r="62" spans="1:5" ht="15.75" x14ac:dyDescent="0.25">
      <c r="A62" s="44" t="s">
        <v>73</v>
      </c>
      <c r="B62" s="135">
        <f>6001*1.0952</f>
        <v>6572.2951999999996</v>
      </c>
      <c r="C62" s="80"/>
      <c r="D62" s="92"/>
      <c r="E62" s="65"/>
    </row>
    <row r="63" spans="1:5" s="3" customFormat="1" ht="31.5" x14ac:dyDescent="0.25">
      <c r="A63" s="99" t="s">
        <v>74</v>
      </c>
      <c r="B63" s="139">
        <f>SUM(B64:B67)</f>
        <v>813.8</v>
      </c>
      <c r="C63" s="80"/>
      <c r="D63" s="92"/>
    </row>
    <row r="64" spans="1:5" ht="15.75" hidden="1" x14ac:dyDescent="0.25">
      <c r="A64" s="47" t="s">
        <v>165</v>
      </c>
      <c r="B64" s="135"/>
      <c r="C64" s="80"/>
      <c r="D64" s="92"/>
      <c r="E64" s="65"/>
    </row>
    <row r="65" spans="1:4" ht="15.75" hidden="1" x14ac:dyDescent="0.25">
      <c r="A65" s="47" t="s">
        <v>76</v>
      </c>
      <c r="B65" s="135">
        <f>(B26/1.2)*30%</f>
        <v>0</v>
      </c>
      <c r="C65" s="80"/>
      <c r="D65" s="92"/>
    </row>
    <row r="66" spans="1:4" ht="15.75" x14ac:dyDescent="0.25">
      <c r="A66" s="174" t="s">
        <v>166</v>
      </c>
      <c r="B66" s="17">
        <v>412.8</v>
      </c>
      <c r="C66" s="80"/>
      <c r="D66" s="92"/>
    </row>
    <row r="67" spans="1:4" ht="15.75" x14ac:dyDescent="0.25">
      <c r="A67" s="174" t="s">
        <v>167</v>
      </c>
      <c r="B67" s="135">
        <v>401</v>
      </c>
      <c r="C67" s="80"/>
      <c r="D67" s="92"/>
    </row>
    <row r="68" spans="1:4" ht="15.75" x14ac:dyDescent="0.25">
      <c r="A68" s="103" t="s">
        <v>79</v>
      </c>
      <c r="B68" s="24">
        <f>B32+B42+B46+B54+B61+B63</f>
        <v>123022.41359999999</v>
      </c>
      <c r="C68" s="80"/>
      <c r="D68" s="92"/>
    </row>
    <row r="69" spans="1:4" ht="15.75" x14ac:dyDescent="0.25">
      <c r="A69" s="104" t="s">
        <v>80</v>
      </c>
      <c r="B69" s="135">
        <f>B68*0.03</f>
        <v>3690.6724079999995</v>
      </c>
      <c r="C69" s="80"/>
      <c r="D69" s="92"/>
    </row>
    <row r="70" spans="1:4" s="141" customFormat="1" ht="15.75" x14ac:dyDescent="0.25">
      <c r="A70" s="105" t="s">
        <v>81</v>
      </c>
      <c r="B70" s="139">
        <f>B68+B69</f>
        <v>126713.08600799998</v>
      </c>
      <c r="C70" s="80"/>
      <c r="D70" s="92"/>
    </row>
    <row r="71" spans="1:4" ht="16.5" thickBot="1" x14ac:dyDescent="0.3">
      <c r="A71" s="106" t="s">
        <v>82</v>
      </c>
      <c r="B71" s="53">
        <f>B70*0.2</f>
        <v>25342.617201599998</v>
      </c>
      <c r="C71" s="80"/>
      <c r="D71" s="92"/>
    </row>
    <row r="72" spans="1:4" s="3" customFormat="1" ht="16.5" thickBot="1" x14ac:dyDescent="0.3">
      <c r="A72" s="107" t="s">
        <v>83</v>
      </c>
      <c r="B72" s="55">
        <f>B70+B71</f>
        <v>152055.70320959997</v>
      </c>
      <c r="C72" s="108"/>
      <c r="D72" s="76"/>
    </row>
    <row r="73" spans="1:4" s="3" customFormat="1" ht="16.5" thickBot="1" x14ac:dyDescent="0.3">
      <c r="A73" s="109" t="s">
        <v>84</v>
      </c>
      <c r="B73" s="55">
        <f>B10+B24+B26+B28+B29-B72</f>
        <v>-303720.20320959995</v>
      </c>
      <c r="C73" s="111"/>
      <c r="D73" s="111"/>
    </row>
    <row r="74" spans="1:4" s="3" customFormat="1" ht="16.5" hidden="1" thickBot="1" x14ac:dyDescent="0.3">
      <c r="A74" s="112" t="s">
        <v>85</v>
      </c>
      <c r="B74" s="55"/>
      <c r="C74" s="111"/>
      <c r="D74" s="111"/>
    </row>
    <row r="75" spans="1:4" s="3" customFormat="1" ht="16.5" hidden="1" thickBot="1" x14ac:dyDescent="0.3">
      <c r="A75" s="167" t="s">
        <v>86</v>
      </c>
      <c r="B75" s="55"/>
      <c r="C75" s="111"/>
      <c r="D75" s="111"/>
    </row>
    <row r="76" spans="1:4" s="3" customFormat="1" ht="15.75" x14ac:dyDescent="0.25">
      <c r="A76" s="115"/>
      <c r="B76" s="64"/>
      <c r="C76" s="111"/>
      <c r="D76" s="111"/>
    </row>
    <row r="77" spans="1:4" ht="15.75" x14ac:dyDescent="0.25">
      <c r="A77" s="128"/>
      <c r="B77" s="65"/>
      <c r="C77" s="65"/>
      <c r="D77" s="65"/>
    </row>
    <row r="78" spans="1:4" ht="15.75" x14ac:dyDescent="0.25">
      <c r="A78" s="193" t="s">
        <v>414</v>
      </c>
      <c r="B78" s="214"/>
      <c r="C78" s="65"/>
      <c r="D78" s="65"/>
    </row>
    <row r="79" spans="1:4" ht="15.75" x14ac:dyDescent="0.25">
      <c r="A79" s="128"/>
      <c r="B79" s="161"/>
      <c r="C79" s="65"/>
      <c r="D79" s="65"/>
    </row>
    <row r="80" spans="1:4" ht="15.75" x14ac:dyDescent="0.25">
      <c r="A80" s="209"/>
      <c r="B80" s="209"/>
      <c r="C80" s="161"/>
      <c r="D80" s="65"/>
    </row>
    <row r="89" spans="2:2" ht="15.75" hidden="1" x14ac:dyDescent="0.25">
      <c r="B89" s="129"/>
    </row>
    <row r="90" spans="2:2" ht="15.75" x14ac:dyDescent="0.25">
      <c r="B90" s="65"/>
    </row>
  </sheetData>
  <autoFilter ref="A32:B75" xr:uid="{00000000-0009-0000-0000-000022000000}">
    <filterColumn colId="1">
      <filters>
        <filter val="1 499,33"/>
        <filter val="10 223,11"/>
        <filter val="123 022,41"/>
        <filter val="126 713,09"/>
        <filter val="15 905,59"/>
        <filter val="152 055,70"/>
        <filter val="21 999,48"/>
        <filter val="242,04"/>
        <filter val="25 342,62"/>
        <filter val="3 378,93"/>
        <filter val="3 563,78"/>
        <filter val="3 690,67"/>
        <filter val="-303 720,20"/>
        <filter val="355,94"/>
        <filter val="401,00"/>
        <filter val="412,80"/>
        <filter val="6 572,30"/>
        <filter val="70 494,01"/>
        <filter val="74 057,79"/>
        <filter val="813,80"/>
        <filter val="9 000,00"/>
        <filter val="973,59"/>
      </filters>
    </filterColumn>
  </autoFilter>
  <mergeCells count="9">
    <mergeCell ref="D8:D9"/>
    <mergeCell ref="A78:B78"/>
    <mergeCell ref="A80:B80"/>
    <mergeCell ref="A1:B1"/>
    <mergeCell ref="A2:B2"/>
    <mergeCell ref="A3:B3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>
    <pageSetUpPr fitToPage="1"/>
  </sheetPr>
  <dimension ref="A1:G90"/>
  <sheetViews>
    <sheetView view="pageBreakPreview" topLeftCell="A16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91.57031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91.57031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91.57031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91.57031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91.57031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91.57031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91.57031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91.57031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91.57031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91.57031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91.57031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91.57031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91.57031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91.57031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91.57031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91.57031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91.57031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91.57031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91.57031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91.57031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91.57031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91.57031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91.57031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91.57031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91.57031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91.57031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91.57031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91.57031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91.57031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91.57031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91.57031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91.57031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91.57031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91.57031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91.57031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91.57031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91.57031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91.57031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91.57031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91.57031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91.57031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91.57031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91.57031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91.57031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91.57031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91.57031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91.57031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91.57031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91.57031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91.57031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91.57031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91.57031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91.57031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91.57031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91.57031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91.57031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91.57031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91.57031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91.57031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91.57031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91.57031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91.57031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91.57031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6" t="s">
        <v>0</v>
      </c>
      <c r="B1" s="196"/>
      <c r="C1" s="65"/>
      <c r="D1" s="65"/>
    </row>
    <row r="2" spans="1:4" ht="16.5" x14ac:dyDescent="0.25">
      <c r="A2" s="198" t="s">
        <v>1</v>
      </c>
      <c r="B2" s="198"/>
      <c r="C2" s="65"/>
      <c r="D2" s="65"/>
    </row>
    <row r="3" spans="1:4" ht="16.5" x14ac:dyDescent="0.25">
      <c r="A3" s="198" t="s">
        <v>2</v>
      </c>
      <c r="B3" s="198"/>
      <c r="C3" s="65"/>
      <c r="D3" s="65"/>
    </row>
    <row r="4" spans="1:4" ht="15.75" x14ac:dyDescent="0.25">
      <c r="A4" s="69" t="s">
        <v>97</v>
      </c>
      <c r="B4" s="69"/>
      <c r="C4" s="65"/>
      <c r="D4" s="65"/>
    </row>
    <row r="5" spans="1:4" ht="15.75" x14ac:dyDescent="0.25">
      <c r="A5" s="69" t="s">
        <v>181</v>
      </c>
      <c r="B5" s="182"/>
      <c r="C5" s="65"/>
      <c r="D5" s="65"/>
    </row>
    <row r="6" spans="1:4" ht="5.25" customHeight="1" x14ac:dyDescent="0.25">
      <c r="A6" s="69"/>
      <c r="B6" s="3"/>
      <c r="C6" s="3"/>
      <c r="D6" s="65"/>
    </row>
    <row r="7" spans="1:4" ht="16.5" thickBot="1" x14ac:dyDescent="0.3">
      <c r="A7" s="168"/>
      <c r="B7" s="3"/>
      <c r="C7" s="3"/>
      <c r="D7" s="65"/>
    </row>
    <row r="8" spans="1:4" ht="15.75" customHeight="1" x14ac:dyDescent="0.25">
      <c r="A8" s="210" t="s">
        <v>4</v>
      </c>
      <c r="B8" s="201" t="s">
        <v>5</v>
      </c>
      <c r="C8" s="207" t="s">
        <v>6</v>
      </c>
      <c r="D8" s="207" t="s">
        <v>7</v>
      </c>
    </row>
    <row r="9" spans="1:4" ht="28.5" customHeight="1" thickBot="1" x14ac:dyDescent="0.3">
      <c r="A9" s="211"/>
      <c r="B9" s="202"/>
      <c r="C9" s="208"/>
      <c r="D9" s="208"/>
    </row>
    <row r="10" spans="1:4" ht="16.5" thickBot="1" x14ac:dyDescent="0.3">
      <c r="A10" s="70" t="s">
        <v>8</v>
      </c>
      <c r="B10" s="176">
        <v>-972117.03</v>
      </c>
      <c r="C10" s="72"/>
      <c r="D10" s="72"/>
    </row>
    <row r="11" spans="1:4" ht="16.5" hidden="1" thickBot="1" x14ac:dyDescent="0.3">
      <c r="A11" s="73" t="s">
        <v>9</v>
      </c>
      <c r="B11" s="130"/>
      <c r="C11" s="74"/>
      <c r="D11" s="74"/>
    </row>
    <row r="12" spans="1:4" ht="15.75" x14ac:dyDescent="0.25">
      <c r="A12" s="75" t="s">
        <v>10</v>
      </c>
      <c r="B12" s="177"/>
      <c r="C12" s="77" t="s">
        <v>11</v>
      </c>
      <c r="D12" s="133" t="s">
        <v>11</v>
      </c>
    </row>
    <row r="13" spans="1:4" ht="15.75" hidden="1" x14ac:dyDescent="0.25">
      <c r="A13" s="78" t="s">
        <v>12</v>
      </c>
      <c r="B13" s="135">
        <v>488.7</v>
      </c>
      <c r="C13" s="82" t="s">
        <v>11</v>
      </c>
      <c r="D13" s="79" t="s">
        <v>11</v>
      </c>
    </row>
    <row r="14" spans="1:4" ht="15.75" hidden="1" x14ac:dyDescent="0.25">
      <c r="A14" s="78" t="s">
        <v>13</v>
      </c>
      <c r="B14" s="135">
        <v>0</v>
      </c>
      <c r="C14" s="82"/>
      <c r="D14" s="79"/>
    </row>
    <row r="15" spans="1:4" ht="15.75" x14ac:dyDescent="0.25">
      <c r="A15" s="78" t="s">
        <v>14</v>
      </c>
      <c r="B15" s="17">
        <f>B13+B14</f>
        <v>488.7</v>
      </c>
      <c r="C15" s="82"/>
      <c r="D15" s="79"/>
    </row>
    <row r="16" spans="1:4" ht="15.75" x14ac:dyDescent="0.25">
      <c r="A16" s="78" t="s">
        <v>15</v>
      </c>
      <c r="B16" s="17">
        <f>746.8+1584.3/3</f>
        <v>1274.9000000000001</v>
      </c>
      <c r="C16" s="82" t="s">
        <v>11</v>
      </c>
      <c r="D16" s="79" t="s">
        <v>11</v>
      </c>
    </row>
    <row r="17" spans="1:7" ht="15.75" hidden="1" x14ac:dyDescent="0.25">
      <c r="A17" s="78" t="s">
        <v>16</v>
      </c>
      <c r="B17" s="135">
        <v>0</v>
      </c>
      <c r="C17" s="82" t="s">
        <v>11</v>
      </c>
      <c r="D17" s="79" t="s">
        <v>11</v>
      </c>
      <c r="E17" s="65"/>
      <c r="F17" s="65"/>
      <c r="G17" s="65"/>
    </row>
    <row r="18" spans="1:7" ht="15.75" hidden="1" x14ac:dyDescent="0.25">
      <c r="A18" s="78" t="s">
        <v>17</v>
      </c>
      <c r="B18" s="135">
        <v>0</v>
      </c>
      <c r="C18" s="82" t="s">
        <v>11</v>
      </c>
      <c r="D18" s="79" t="s">
        <v>11</v>
      </c>
      <c r="E18" s="65"/>
      <c r="F18" s="65"/>
      <c r="G18" s="65"/>
    </row>
    <row r="19" spans="1:7" ht="15.75" hidden="1" x14ac:dyDescent="0.25">
      <c r="A19" s="78" t="s">
        <v>18</v>
      </c>
      <c r="B19" s="135">
        <v>0</v>
      </c>
      <c r="C19" s="82" t="s">
        <v>11</v>
      </c>
      <c r="D19" s="79" t="s">
        <v>11</v>
      </c>
      <c r="E19" s="65"/>
      <c r="F19" s="65"/>
      <c r="G19" s="65"/>
    </row>
    <row r="20" spans="1:7" ht="15.75" hidden="1" x14ac:dyDescent="0.25">
      <c r="A20" s="78" t="s">
        <v>19</v>
      </c>
      <c r="B20" s="135">
        <v>470</v>
      </c>
      <c r="C20" s="82"/>
      <c r="D20" s="79"/>
      <c r="E20" s="65"/>
      <c r="F20" s="65"/>
      <c r="G20" s="65"/>
    </row>
    <row r="21" spans="1:7" ht="15.75" hidden="1" x14ac:dyDescent="0.25">
      <c r="A21" s="78" t="s">
        <v>20</v>
      </c>
      <c r="B21" s="135">
        <v>0</v>
      </c>
      <c r="C21" s="82" t="s">
        <v>11</v>
      </c>
      <c r="D21" s="79" t="s">
        <v>11</v>
      </c>
      <c r="E21" s="65"/>
      <c r="F21" s="65"/>
      <c r="G21" s="65"/>
    </row>
    <row r="22" spans="1:7" ht="15.75" hidden="1" x14ac:dyDescent="0.25">
      <c r="A22" s="78" t="s">
        <v>21</v>
      </c>
      <c r="B22" s="135">
        <v>33</v>
      </c>
      <c r="C22" s="82"/>
      <c r="D22" s="79"/>
      <c r="E22" s="65"/>
      <c r="F22" s="65"/>
      <c r="G22" s="65"/>
    </row>
    <row r="23" spans="1:7" ht="15.75" x14ac:dyDescent="0.25">
      <c r="A23" s="78"/>
      <c r="B23" s="17"/>
      <c r="C23" s="82"/>
      <c r="D23" s="79"/>
      <c r="E23" s="65">
        <v>10</v>
      </c>
      <c r="F23" s="65">
        <v>2</v>
      </c>
      <c r="G23" s="65"/>
    </row>
    <row r="24" spans="1:7" ht="15.75" x14ac:dyDescent="0.25">
      <c r="A24" s="87" t="s">
        <v>153</v>
      </c>
      <c r="B24" s="24">
        <f>VLOOKUP(A5,Лист11!K:M,2,FALSE)</f>
        <v>116300.88</v>
      </c>
      <c r="C24" s="82"/>
      <c r="D24" s="79"/>
      <c r="E24" s="67">
        <v>17.500000056000001</v>
      </c>
      <c r="F24" s="68">
        <v>19.589500062686401</v>
      </c>
      <c r="G24" s="65"/>
    </row>
    <row r="25" spans="1:7" ht="15.75" x14ac:dyDescent="0.25">
      <c r="A25" s="87" t="s">
        <v>154</v>
      </c>
      <c r="B25" s="24">
        <f>VLOOKUP(A5,Лист11!K:M,3,FALSE)</f>
        <v>116780</v>
      </c>
      <c r="C25" s="82"/>
      <c r="D25" s="79"/>
      <c r="E25" s="65"/>
      <c r="F25" s="65"/>
      <c r="G25" s="65"/>
    </row>
    <row r="26" spans="1:7" ht="15.75" hidden="1" x14ac:dyDescent="0.25">
      <c r="A26" s="87" t="s">
        <v>160</v>
      </c>
      <c r="B26" s="24"/>
      <c r="C26" s="82"/>
      <c r="D26" s="79"/>
      <c r="E26" s="65"/>
      <c r="F26" s="65"/>
      <c r="G26" s="65"/>
    </row>
    <row r="27" spans="1:7" ht="15.75" hidden="1" x14ac:dyDescent="0.25">
      <c r="A27" s="87" t="s">
        <v>91</v>
      </c>
      <c r="B27" s="24">
        <f>B26</f>
        <v>0</v>
      </c>
      <c r="C27" s="82"/>
      <c r="D27" s="79"/>
      <c r="E27" s="65"/>
      <c r="F27" s="65"/>
      <c r="G27" s="65"/>
    </row>
    <row r="28" spans="1:7" ht="15.75" x14ac:dyDescent="0.25">
      <c r="A28" s="87" t="s">
        <v>25</v>
      </c>
      <c r="B28" s="24">
        <v>1510.2</v>
      </c>
      <c r="C28" s="82"/>
      <c r="D28" s="79"/>
      <c r="E28" s="65"/>
      <c r="F28" s="65"/>
      <c r="G28" s="65"/>
    </row>
    <row r="29" spans="1:7" ht="15.75" x14ac:dyDescent="0.25">
      <c r="A29" s="87" t="s">
        <v>26</v>
      </c>
      <c r="B29" s="135"/>
      <c r="C29" s="82"/>
      <c r="D29" s="79"/>
      <c r="E29" s="65"/>
      <c r="F29" s="65"/>
      <c r="G29" s="65"/>
    </row>
    <row r="30" spans="1:7" ht="15.75" x14ac:dyDescent="0.25">
      <c r="A30" s="89"/>
      <c r="B30" s="17"/>
      <c r="C30" s="82"/>
      <c r="D30" s="79"/>
      <c r="E30" s="65"/>
      <c r="F30" s="65"/>
      <c r="G30" s="65"/>
    </row>
    <row r="31" spans="1:7" ht="15.75" x14ac:dyDescent="0.25">
      <c r="A31" s="90" t="s">
        <v>27</v>
      </c>
      <c r="B31" s="17"/>
      <c r="C31" s="82"/>
      <c r="D31" s="79"/>
      <c r="E31" s="65"/>
      <c r="F31" s="65"/>
      <c r="G31" s="65"/>
    </row>
    <row r="32" spans="1:7" s="141" customFormat="1" ht="31.5" x14ac:dyDescent="0.25">
      <c r="A32" s="91" t="s">
        <v>28</v>
      </c>
      <c r="B32" s="29">
        <f>SUM(B33:B41)</f>
        <v>60611</v>
      </c>
      <c r="C32" s="82"/>
      <c r="D32" s="79"/>
      <c r="E32" s="140">
        <f>(B24-B68)/1.2/1.03</f>
        <v>-59634.741693203861</v>
      </c>
      <c r="F32" s="140" t="e">
        <f>(#REF!-#REF!)/1.2/1.03</f>
        <v>#REF!</v>
      </c>
      <c r="G32" s="140" t="e">
        <f>(#REF!-#REF!)/1.2/1.03</f>
        <v>#REF!</v>
      </c>
    </row>
    <row r="33" spans="1:7" ht="15.75" x14ac:dyDescent="0.25">
      <c r="A33" s="33" t="s">
        <v>29</v>
      </c>
      <c r="B33" s="135">
        <v>35000</v>
      </c>
      <c r="C33" s="82"/>
      <c r="D33" s="79">
        <v>8509.4599999999991</v>
      </c>
      <c r="E33" s="65"/>
      <c r="F33" s="65"/>
      <c r="G33" s="65"/>
    </row>
    <row r="34" spans="1:7" ht="15.75" x14ac:dyDescent="0.25">
      <c r="A34" s="172" t="s">
        <v>422</v>
      </c>
      <c r="B34" s="170">
        <v>20446.230000000003</v>
      </c>
      <c r="C34" s="82"/>
      <c r="D34" s="79">
        <v>0</v>
      </c>
      <c r="E34" s="65"/>
      <c r="F34" s="65"/>
      <c r="G34" s="65"/>
    </row>
    <row r="35" spans="1:7" ht="15.75" hidden="1" x14ac:dyDescent="0.25">
      <c r="A35" s="173" t="s">
        <v>179</v>
      </c>
      <c r="B35" s="187"/>
      <c r="C35" s="82"/>
      <c r="D35" s="79">
        <v>0</v>
      </c>
      <c r="E35" s="65"/>
      <c r="F35" s="65"/>
      <c r="G35" s="65"/>
    </row>
    <row r="36" spans="1:7" ht="15.75" hidden="1" x14ac:dyDescent="0.25">
      <c r="A36" s="33" t="s">
        <v>31</v>
      </c>
      <c r="B36" s="17">
        <v>0</v>
      </c>
      <c r="C36" s="82" t="s">
        <v>11</v>
      </c>
      <c r="D36" s="79">
        <v>0</v>
      </c>
      <c r="E36" s="65"/>
      <c r="F36" s="65"/>
      <c r="G36" s="65"/>
    </row>
    <row r="37" spans="1:7" ht="15.75" hidden="1" x14ac:dyDescent="0.25">
      <c r="A37" s="33" t="s">
        <v>33</v>
      </c>
      <c r="B37" s="17">
        <v>0</v>
      </c>
      <c r="C37" s="82"/>
      <c r="D37" s="79">
        <v>0</v>
      </c>
      <c r="E37" s="65"/>
      <c r="F37" s="65"/>
      <c r="G37" s="65"/>
    </row>
    <row r="38" spans="1:7" ht="15.75" hidden="1" x14ac:dyDescent="0.25">
      <c r="A38" s="33" t="s">
        <v>34</v>
      </c>
      <c r="B38" s="17">
        <v>0</v>
      </c>
      <c r="C38" s="82"/>
      <c r="D38" s="79">
        <v>0</v>
      </c>
      <c r="E38" s="65"/>
      <c r="F38" s="65"/>
      <c r="G38" s="65"/>
    </row>
    <row r="39" spans="1:7" ht="15.75" hidden="1" x14ac:dyDescent="0.25">
      <c r="A39" s="33" t="s">
        <v>162</v>
      </c>
      <c r="B39" s="17">
        <v>0</v>
      </c>
      <c r="C39" s="82"/>
      <c r="D39" s="79">
        <v>0</v>
      </c>
      <c r="E39" s="65"/>
      <c r="F39" s="65"/>
      <c r="G39" s="65"/>
    </row>
    <row r="40" spans="1:7" ht="15.75" x14ac:dyDescent="0.25">
      <c r="A40" s="33" t="s">
        <v>92</v>
      </c>
      <c r="B40" s="17">
        <v>5164.7700000000004</v>
      </c>
      <c r="C40" s="82"/>
      <c r="D40" s="79"/>
      <c r="E40" s="65"/>
      <c r="F40" s="65"/>
      <c r="G40" s="65"/>
    </row>
    <row r="41" spans="1:7" ht="15.75" hidden="1" x14ac:dyDescent="0.25">
      <c r="A41" s="33" t="s">
        <v>30</v>
      </c>
      <c r="B41" s="171"/>
      <c r="C41" s="82"/>
      <c r="D41" s="79"/>
      <c r="E41" s="65"/>
      <c r="F41" s="65"/>
      <c r="G41" s="65"/>
    </row>
    <row r="42" spans="1:7" s="141" customFormat="1" ht="47.25" x14ac:dyDescent="0.25">
      <c r="A42" s="91" t="s">
        <v>102</v>
      </c>
      <c r="B42" s="29">
        <f>SUM(B43:B45)</f>
        <v>3138.8431999999998</v>
      </c>
      <c r="C42" s="82"/>
      <c r="D42" s="79"/>
      <c r="E42" s="140"/>
      <c r="F42" s="140"/>
      <c r="G42" s="140"/>
    </row>
    <row r="43" spans="1:7" ht="15.75" hidden="1" x14ac:dyDescent="0.25">
      <c r="A43" s="33" t="s">
        <v>38</v>
      </c>
      <c r="B43" s="17"/>
      <c r="C43" s="80"/>
      <c r="D43" s="92"/>
      <c r="E43" s="65"/>
      <c r="F43" s="65"/>
      <c r="G43" s="65"/>
    </row>
    <row r="44" spans="1:7" ht="15.75" hidden="1" x14ac:dyDescent="0.25">
      <c r="A44" s="33" t="s">
        <v>39</v>
      </c>
      <c r="B44" s="17"/>
      <c r="C44" s="80"/>
      <c r="D44" s="92"/>
      <c r="E44" s="65"/>
      <c r="F44" s="65"/>
      <c r="G44" s="65"/>
    </row>
    <row r="45" spans="1:7" ht="15.75" x14ac:dyDescent="0.25">
      <c r="A45" s="44" t="s">
        <v>40</v>
      </c>
      <c r="B45" s="135">
        <f>2866*1.0952</f>
        <v>3138.8431999999998</v>
      </c>
      <c r="C45" s="80"/>
      <c r="D45" s="92"/>
      <c r="E45" s="65"/>
      <c r="F45" s="65"/>
      <c r="G45" s="65"/>
    </row>
    <row r="46" spans="1:7" s="3" customFormat="1" ht="15.75" x14ac:dyDescent="0.25">
      <c r="A46" s="91" t="s">
        <v>41</v>
      </c>
      <c r="B46" s="29">
        <f>SUM(B47:B50)</f>
        <v>928.61120000000005</v>
      </c>
      <c r="C46" s="82"/>
      <c r="D46" s="79"/>
    </row>
    <row r="47" spans="1:7" ht="15.75" hidden="1" x14ac:dyDescent="0.25">
      <c r="A47" s="33" t="s">
        <v>180</v>
      </c>
      <c r="B47" s="17">
        <v>0</v>
      </c>
      <c r="C47" s="82"/>
      <c r="D47" s="79"/>
      <c r="E47" s="65" t="s">
        <v>43</v>
      </c>
      <c r="F47" s="65"/>
      <c r="G47" s="65"/>
    </row>
    <row r="48" spans="1:7" ht="15.75" x14ac:dyDescent="0.25">
      <c r="A48" s="33" t="s">
        <v>163</v>
      </c>
      <c r="B48" s="17">
        <f>256*1.0952</f>
        <v>280.37119999999999</v>
      </c>
      <c r="C48" s="82"/>
      <c r="D48" s="79"/>
      <c r="E48" s="65" t="s">
        <v>45</v>
      </c>
      <c r="F48" s="65"/>
      <c r="G48" s="65"/>
    </row>
    <row r="49" spans="1:5" ht="15.75" x14ac:dyDescent="0.25">
      <c r="A49" s="33" t="s">
        <v>61</v>
      </c>
      <c r="B49" s="146">
        <v>648.24</v>
      </c>
      <c r="C49" s="147">
        <v>8</v>
      </c>
      <c r="D49" s="79">
        <v>1</v>
      </c>
      <c r="E49" s="65">
        <v>0</v>
      </c>
    </row>
    <row r="50" spans="1:5" ht="15.75" hidden="1" x14ac:dyDescent="0.25">
      <c r="A50" s="33" t="s">
        <v>62</v>
      </c>
      <c r="B50" s="146">
        <v>0</v>
      </c>
      <c r="C50" s="96"/>
      <c r="D50" s="92">
        <v>0</v>
      </c>
      <c r="E50" s="65"/>
    </row>
    <row r="51" spans="1:5" s="3" customFormat="1" ht="15.75" x14ac:dyDescent="0.25">
      <c r="A51" s="99" t="s">
        <v>63</v>
      </c>
      <c r="B51" s="139">
        <f>SUM(B52:B56)</f>
        <v>69456.284</v>
      </c>
      <c r="C51" s="80"/>
      <c r="D51" s="92"/>
    </row>
    <row r="52" spans="1:5" ht="15.75" x14ac:dyDescent="0.25">
      <c r="A52" s="33" t="s">
        <v>65</v>
      </c>
      <c r="B52" s="135">
        <f>49231*1.0952</f>
        <v>53917.7912</v>
      </c>
      <c r="C52" s="80"/>
      <c r="D52" s="92"/>
      <c r="E52" s="65"/>
    </row>
    <row r="53" spans="1:5" ht="15.75" x14ac:dyDescent="0.25">
      <c r="A53" s="44" t="s">
        <v>68</v>
      </c>
      <c r="B53" s="135">
        <f>5.1*B15</f>
        <v>2492.37</v>
      </c>
      <c r="C53" s="80"/>
      <c r="D53" s="92"/>
      <c r="E53" s="65"/>
    </row>
    <row r="54" spans="1:5" ht="15.75" x14ac:dyDescent="0.25">
      <c r="A54" s="44" t="s">
        <v>69</v>
      </c>
      <c r="B54" s="135">
        <f>17.7*B15</f>
        <v>8649.99</v>
      </c>
      <c r="C54" s="80"/>
      <c r="D54" s="92"/>
      <c r="E54" s="65"/>
    </row>
    <row r="55" spans="1:5" ht="15.75" x14ac:dyDescent="0.25">
      <c r="A55" s="44" t="s">
        <v>70</v>
      </c>
      <c r="B55" s="135">
        <f>562*1.0952</f>
        <v>615.50239999999997</v>
      </c>
      <c r="C55" s="80"/>
      <c r="D55" s="92"/>
      <c r="E55" s="65"/>
    </row>
    <row r="56" spans="1:5" ht="15.75" x14ac:dyDescent="0.25">
      <c r="A56" s="44" t="s">
        <v>71</v>
      </c>
      <c r="B56" s="135">
        <f>3452*1.0952</f>
        <v>3780.6304</v>
      </c>
      <c r="C56" s="80"/>
      <c r="D56" s="92"/>
      <c r="E56" s="65"/>
    </row>
    <row r="57" spans="1:5" ht="63" x14ac:dyDescent="0.25">
      <c r="A57" s="101" t="s">
        <v>164</v>
      </c>
      <c r="B57" s="139">
        <f>SUM(B58:B58)</f>
        <v>17120.166399999998</v>
      </c>
      <c r="C57" s="80"/>
      <c r="D57" s="92"/>
      <c r="E57" s="65"/>
    </row>
    <row r="58" spans="1:5" ht="15.75" x14ac:dyDescent="0.25">
      <c r="A58" s="44" t="s">
        <v>73</v>
      </c>
      <c r="B58" s="135">
        <f>15632*1.0952</f>
        <v>17120.166399999998</v>
      </c>
      <c r="C58" s="80"/>
      <c r="D58" s="92"/>
      <c r="E58" s="65"/>
    </row>
    <row r="59" spans="1:5" s="3" customFormat="1" ht="31.5" x14ac:dyDescent="0.25">
      <c r="A59" s="99" t="s">
        <v>74</v>
      </c>
      <c r="B59" s="139">
        <f>SUM(B60:B63)</f>
        <v>2474.4</v>
      </c>
      <c r="C59" s="80"/>
      <c r="D59" s="92"/>
    </row>
    <row r="60" spans="1:5" ht="15.75" hidden="1" x14ac:dyDescent="0.25">
      <c r="A60" s="47" t="s">
        <v>165</v>
      </c>
      <c r="B60" s="17"/>
      <c r="C60" s="80"/>
      <c r="D60" s="92"/>
      <c r="E60" s="65"/>
    </row>
    <row r="61" spans="1:5" ht="15.75" hidden="1" x14ac:dyDescent="0.25">
      <c r="A61" s="47" t="s">
        <v>76</v>
      </c>
      <c r="B61" s="17">
        <f>(B26/1.2)*30%</f>
        <v>0</v>
      </c>
      <c r="C61" s="80"/>
      <c r="D61" s="92"/>
      <c r="E61" s="65"/>
    </row>
    <row r="62" spans="1:5" ht="15.75" x14ac:dyDescent="0.25">
      <c r="A62" s="174" t="s">
        <v>166</v>
      </c>
      <c r="B62" s="135">
        <v>1238.4000000000001</v>
      </c>
      <c r="C62" s="80"/>
      <c r="D62" s="92"/>
      <c r="E62" s="65"/>
    </row>
    <row r="63" spans="1:5" ht="15.75" x14ac:dyDescent="0.25">
      <c r="A63" s="174" t="s">
        <v>167</v>
      </c>
      <c r="B63" s="135">
        <f>1234+2</f>
        <v>1236</v>
      </c>
      <c r="C63" s="80"/>
      <c r="D63" s="92"/>
      <c r="E63" s="65"/>
    </row>
    <row r="64" spans="1:5" ht="15.75" x14ac:dyDescent="0.25">
      <c r="A64" s="103" t="s">
        <v>79</v>
      </c>
      <c r="B64" s="138">
        <f>B32+B42+B46+B51+B57+B59</f>
        <v>153729.30479999998</v>
      </c>
      <c r="C64" s="80"/>
      <c r="D64" s="92"/>
      <c r="E64" s="65"/>
    </row>
    <row r="65" spans="1:4" ht="15.75" x14ac:dyDescent="0.25">
      <c r="A65" s="104" t="s">
        <v>80</v>
      </c>
      <c r="B65" s="135">
        <f>B64*0.03</f>
        <v>4611.8791439999995</v>
      </c>
      <c r="C65" s="80"/>
      <c r="D65" s="92"/>
    </row>
    <row r="66" spans="1:4" s="141" customFormat="1" ht="15.75" x14ac:dyDescent="0.25">
      <c r="A66" s="105" t="s">
        <v>81</v>
      </c>
      <c r="B66" s="29">
        <f>B64+B65</f>
        <v>158341.18394399999</v>
      </c>
      <c r="C66" s="80"/>
      <c r="D66" s="92"/>
    </row>
    <row r="67" spans="1:4" ht="16.5" thickBot="1" x14ac:dyDescent="0.3">
      <c r="A67" s="106" t="s">
        <v>82</v>
      </c>
      <c r="B67" s="157">
        <f>B66*0.2</f>
        <v>31668.236788800001</v>
      </c>
      <c r="C67" s="80"/>
      <c r="D67" s="92"/>
    </row>
    <row r="68" spans="1:4" s="3" customFormat="1" ht="16.5" thickBot="1" x14ac:dyDescent="0.3">
      <c r="A68" s="107" t="s">
        <v>83</v>
      </c>
      <c r="B68" s="55">
        <f>B66+B67</f>
        <v>190009.42073279998</v>
      </c>
      <c r="C68" s="108"/>
      <c r="D68" s="76"/>
    </row>
    <row r="69" spans="1:4" s="3" customFormat="1" ht="16.5" thickBot="1" x14ac:dyDescent="0.3">
      <c r="A69" s="109" t="s">
        <v>84</v>
      </c>
      <c r="B69" s="158">
        <f>B10+B24+B26+B28+B29-B68</f>
        <v>-1044315.3707328001</v>
      </c>
      <c r="C69" s="111"/>
      <c r="D69" s="111"/>
    </row>
    <row r="70" spans="1:4" s="3" customFormat="1" ht="16.5" hidden="1" thickBot="1" x14ac:dyDescent="0.3">
      <c r="A70" s="112" t="s">
        <v>85</v>
      </c>
      <c r="B70" s="158"/>
      <c r="C70" s="111"/>
      <c r="D70" s="111"/>
    </row>
    <row r="71" spans="1:4" s="3" customFormat="1" ht="16.5" hidden="1" thickBot="1" x14ac:dyDescent="0.3">
      <c r="A71" s="167" t="s">
        <v>86</v>
      </c>
      <c r="B71" s="55"/>
      <c r="C71" s="111"/>
      <c r="D71" s="111"/>
    </row>
    <row r="72" spans="1:4" s="3" customFormat="1" ht="15.75" x14ac:dyDescent="0.25">
      <c r="A72" s="115"/>
      <c r="B72" s="64"/>
      <c r="C72" s="111"/>
      <c r="D72" s="111"/>
    </row>
    <row r="73" spans="1:4" ht="15.75" x14ac:dyDescent="0.25">
      <c r="A73" s="128"/>
      <c r="B73" s="65"/>
      <c r="C73" s="65"/>
      <c r="D73" s="65"/>
    </row>
    <row r="74" spans="1:4" ht="15.75" x14ac:dyDescent="0.25">
      <c r="A74" s="193" t="s">
        <v>414</v>
      </c>
      <c r="B74" s="193"/>
      <c r="C74" s="65"/>
      <c r="D74" s="65"/>
    </row>
    <row r="75" spans="1:4" ht="15.75" x14ac:dyDescent="0.25">
      <c r="A75" s="128"/>
      <c r="B75" s="161"/>
      <c r="C75" s="65"/>
      <c r="D75" s="65"/>
    </row>
    <row r="76" spans="1:4" ht="15.75" x14ac:dyDescent="0.25">
      <c r="A76" s="209"/>
      <c r="B76" s="209"/>
      <c r="C76" s="161"/>
      <c r="D76" s="65"/>
    </row>
    <row r="89" spans="2:2" ht="15.75" hidden="1" x14ac:dyDescent="0.25">
      <c r="B89" s="129"/>
    </row>
    <row r="90" spans="2:2" ht="15.75" x14ac:dyDescent="0.25">
      <c r="B90" s="65"/>
    </row>
  </sheetData>
  <autoFilter ref="A32:B71" xr:uid="{00000000-0009-0000-0000-000023000000}">
    <filterColumn colId="1">
      <filters>
        <filter val="-1 044 315,37"/>
        <filter val="1 236,00"/>
        <filter val="1 238,40"/>
        <filter val="153 729,30"/>
        <filter val="158 341,18"/>
        <filter val="17 120,17"/>
        <filter val="190 009,42"/>
        <filter val="2 474,40"/>
        <filter val="2 492,37"/>
        <filter val="20 446,23"/>
        <filter val="280,37"/>
        <filter val="3 138,84"/>
        <filter val="3 780,63"/>
        <filter val="31 668,24"/>
        <filter val="35 000,00"/>
        <filter val="4 611,88"/>
        <filter val="5 164,77"/>
        <filter val="53 917,79"/>
        <filter val="615,50"/>
        <filter val="648,24"/>
        <filter val="69 456,28"/>
        <filter val="8 649,99"/>
        <filter val="928,61"/>
      </filters>
    </filterColumn>
  </autoFilter>
  <mergeCells count="9">
    <mergeCell ref="D8:D9"/>
    <mergeCell ref="A74:B74"/>
    <mergeCell ref="A76:B76"/>
    <mergeCell ref="A1:B1"/>
    <mergeCell ref="A2:B2"/>
    <mergeCell ref="A3:B3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paperSize="9" scale="82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>
    <pageSetUpPr fitToPage="1"/>
  </sheetPr>
  <dimension ref="A1:G90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91.57031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91.57031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91.57031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91.57031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91.57031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91.57031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91.57031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91.57031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91.57031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91.57031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91.57031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91.57031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91.57031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91.57031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91.57031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91.57031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91.57031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91.57031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91.57031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91.57031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91.57031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91.57031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91.57031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91.57031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91.57031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91.57031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91.57031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91.57031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91.57031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91.57031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91.57031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91.57031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91.57031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91.57031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91.57031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91.57031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91.57031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91.57031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91.57031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91.57031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91.57031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91.57031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91.57031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91.57031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91.57031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91.57031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91.57031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91.57031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91.57031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91.57031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91.57031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91.57031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91.57031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91.57031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91.57031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91.57031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91.57031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91.57031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91.57031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91.57031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91.57031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91.57031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91.57031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6" t="s">
        <v>0</v>
      </c>
      <c r="B1" s="196"/>
      <c r="C1" s="65"/>
      <c r="D1" s="65"/>
    </row>
    <row r="2" spans="1:4" ht="16.5" x14ac:dyDescent="0.25">
      <c r="A2" s="198" t="s">
        <v>1</v>
      </c>
      <c r="B2" s="198"/>
      <c r="C2" s="65"/>
      <c r="D2" s="65"/>
    </row>
    <row r="3" spans="1:4" ht="16.5" x14ac:dyDescent="0.25">
      <c r="A3" s="198" t="s">
        <v>2</v>
      </c>
      <c r="B3" s="198"/>
      <c r="C3" s="65"/>
      <c r="D3" s="65"/>
    </row>
    <row r="4" spans="1:4" ht="15.75" x14ac:dyDescent="0.25">
      <c r="A4" s="69" t="s">
        <v>97</v>
      </c>
      <c r="B4" s="69"/>
      <c r="C4" s="65"/>
      <c r="D4" s="65"/>
    </row>
    <row r="5" spans="1:4" ht="15.75" x14ac:dyDescent="0.25">
      <c r="A5" s="69" t="s">
        <v>177</v>
      </c>
      <c r="B5" s="182"/>
      <c r="C5" s="65"/>
      <c r="D5" s="65"/>
    </row>
    <row r="6" spans="1:4" ht="5.25" customHeight="1" x14ac:dyDescent="0.25">
      <c r="A6" s="69"/>
      <c r="B6" s="3"/>
      <c r="C6" s="3"/>
      <c r="D6" s="65"/>
    </row>
    <row r="7" spans="1:4" ht="16.5" thickBot="1" x14ac:dyDescent="0.3">
      <c r="A7" s="168"/>
      <c r="B7" s="3"/>
      <c r="C7" s="3"/>
      <c r="D7" s="65"/>
    </row>
    <row r="8" spans="1:4" ht="15.75" customHeight="1" x14ac:dyDescent="0.25">
      <c r="A8" s="210" t="s">
        <v>4</v>
      </c>
      <c r="B8" s="201" t="s">
        <v>5</v>
      </c>
      <c r="C8" s="207" t="s">
        <v>6</v>
      </c>
      <c r="D8" s="207" t="s">
        <v>7</v>
      </c>
    </row>
    <row r="9" spans="1:4" ht="28.5" customHeight="1" thickBot="1" x14ac:dyDescent="0.3">
      <c r="A9" s="211"/>
      <c r="B9" s="202"/>
      <c r="C9" s="208"/>
      <c r="D9" s="208"/>
    </row>
    <row r="10" spans="1:4" ht="16.5" thickBot="1" x14ac:dyDescent="0.3">
      <c r="A10" s="70" t="s">
        <v>8</v>
      </c>
      <c r="B10" s="176">
        <v>-710301</v>
      </c>
      <c r="C10" s="72"/>
      <c r="D10" s="72"/>
    </row>
    <row r="11" spans="1:4" ht="16.5" hidden="1" thickBot="1" x14ac:dyDescent="0.3">
      <c r="A11" s="131" t="s">
        <v>9</v>
      </c>
      <c r="B11" s="130"/>
      <c r="C11" s="74"/>
      <c r="D11" s="74"/>
    </row>
    <row r="12" spans="1:4" ht="15.75" x14ac:dyDescent="0.25">
      <c r="A12" s="75" t="s">
        <v>10</v>
      </c>
      <c r="B12" s="177"/>
      <c r="C12" s="77" t="s">
        <v>11</v>
      </c>
      <c r="D12" s="133" t="s">
        <v>11</v>
      </c>
    </row>
    <row r="13" spans="1:4" ht="15.75" hidden="1" x14ac:dyDescent="0.25">
      <c r="A13" s="134" t="s">
        <v>12</v>
      </c>
      <c r="B13" s="135">
        <v>498.2</v>
      </c>
      <c r="C13" s="82" t="s">
        <v>11</v>
      </c>
      <c r="D13" s="79" t="s">
        <v>11</v>
      </c>
    </row>
    <row r="14" spans="1:4" ht="15.75" hidden="1" x14ac:dyDescent="0.25">
      <c r="A14" s="134" t="s">
        <v>13</v>
      </c>
      <c r="B14" s="135">
        <v>0</v>
      </c>
      <c r="C14" s="82"/>
      <c r="D14" s="79"/>
    </row>
    <row r="15" spans="1:4" ht="15.75" x14ac:dyDescent="0.25">
      <c r="A15" s="78" t="s">
        <v>14</v>
      </c>
      <c r="B15" s="17">
        <f>B13+B14</f>
        <v>498.2</v>
      </c>
      <c r="C15" s="82"/>
      <c r="D15" s="79"/>
    </row>
    <row r="16" spans="1:4" ht="15.75" x14ac:dyDescent="0.25">
      <c r="A16" s="78" t="s">
        <v>15</v>
      </c>
      <c r="B16" s="17">
        <f>549.4+1935.4/3</f>
        <v>1194.5333333333333</v>
      </c>
      <c r="C16" s="82" t="s">
        <v>11</v>
      </c>
      <c r="D16" s="79" t="s">
        <v>11</v>
      </c>
    </row>
    <row r="17" spans="1:7" ht="15.75" hidden="1" x14ac:dyDescent="0.25">
      <c r="A17" s="134" t="s">
        <v>16</v>
      </c>
      <c r="B17" s="135">
        <v>0</v>
      </c>
      <c r="C17" s="82" t="s">
        <v>11</v>
      </c>
      <c r="D17" s="79" t="s">
        <v>11</v>
      </c>
      <c r="E17" s="65"/>
      <c r="F17" s="65"/>
      <c r="G17" s="65"/>
    </row>
    <row r="18" spans="1:7" ht="15.75" hidden="1" x14ac:dyDescent="0.25">
      <c r="A18" s="134" t="s">
        <v>17</v>
      </c>
      <c r="B18" s="135">
        <v>0</v>
      </c>
      <c r="C18" s="82" t="s">
        <v>11</v>
      </c>
      <c r="D18" s="79" t="s">
        <v>11</v>
      </c>
      <c r="E18" s="65"/>
      <c r="F18" s="65"/>
      <c r="G18" s="65"/>
    </row>
    <row r="19" spans="1:7" ht="15.75" hidden="1" x14ac:dyDescent="0.25">
      <c r="A19" s="134" t="s">
        <v>18</v>
      </c>
      <c r="B19" s="135">
        <v>0</v>
      </c>
      <c r="C19" s="82" t="s">
        <v>11</v>
      </c>
      <c r="D19" s="79" t="s">
        <v>11</v>
      </c>
      <c r="E19" s="65"/>
      <c r="F19" s="65"/>
      <c r="G19" s="65"/>
    </row>
    <row r="20" spans="1:7" ht="15.75" hidden="1" x14ac:dyDescent="0.25">
      <c r="A20" s="134" t="s">
        <v>19</v>
      </c>
      <c r="B20" s="135">
        <v>470</v>
      </c>
      <c r="C20" s="82"/>
      <c r="D20" s="79"/>
      <c r="E20" s="65"/>
      <c r="F20" s="65"/>
      <c r="G20" s="65"/>
    </row>
    <row r="21" spans="1:7" ht="15.75" hidden="1" x14ac:dyDescent="0.25">
      <c r="A21" s="134" t="s">
        <v>20</v>
      </c>
      <c r="B21" s="135">
        <v>0</v>
      </c>
      <c r="C21" s="82" t="s">
        <v>11</v>
      </c>
      <c r="D21" s="79" t="s">
        <v>11</v>
      </c>
      <c r="E21" s="65"/>
      <c r="F21" s="65"/>
      <c r="G21" s="65"/>
    </row>
    <row r="22" spans="1:7" ht="15.75" hidden="1" x14ac:dyDescent="0.25">
      <c r="A22" s="134" t="s">
        <v>21</v>
      </c>
      <c r="B22" s="135">
        <v>29</v>
      </c>
      <c r="C22" s="82"/>
      <c r="D22" s="79"/>
      <c r="E22" s="65"/>
      <c r="F22" s="65"/>
      <c r="G22" s="65"/>
    </row>
    <row r="23" spans="1:7" ht="15.75" x14ac:dyDescent="0.25">
      <c r="A23" s="78"/>
      <c r="B23" s="17"/>
      <c r="C23" s="82"/>
      <c r="D23" s="79"/>
      <c r="E23" s="65">
        <v>10</v>
      </c>
      <c r="F23" s="65">
        <v>2</v>
      </c>
      <c r="G23" s="65"/>
    </row>
    <row r="24" spans="1:7" ht="15.75" x14ac:dyDescent="0.25">
      <c r="A24" s="87" t="s">
        <v>153</v>
      </c>
      <c r="B24" s="24">
        <f>VLOOKUP(A5,Лист11!K:M,2,FALSE)</f>
        <v>136596.5</v>
      </c>
      <c r="C24" s="82"/>
      <c r="D24" s="79"/>
      <c r="E24" s="67">
        <v>20.159999916</v>
      </c>
      <c r="F24" s="68">
        <v>22.567103905970399</v>
      </c>
      <c r="G24" s="65"/>
    </row>
    <row r="25" spans="1:7" ht="15.75" x14ac:dyDescent="0.25">
      <c r="A25" s="87" t="s">
        <v>154</v>
      </c>
      <c r="B25" s="24">
        <f>VLOOKUP(A5,Лист11!K:M,3,FALSE)</f>
        <v>118300.51</v>
      </c>
      <c r="C25" s="82"/>
      <c r="D25" s="79"/>
      <c r="E25" s="65"/>
      <c r="F25" s="65"/>
      <c r="G25" s="65"/>
    </row>
    <row r="26" spans="1:7" ht="15.75" hidden="1" x14ac:dyDescent="0.25">
      <c r="A26" s="87" t="s">
        <v>160</v>
      </c>
      <c r="B26" s="24"/>
      <c r="C26" s="82"/>
      <c r="D26" s="79"/>
      <c r="E26" s="65"/>
      <c r="F26" s="65"/>
      <c r="G26" s="65"/>
    </row>
    <row r="27" spans="1:7" ht="15.75" hidden="1" x14ac:dyDescent="0.25">
      <c r="A27" s="87" t="s">
        <v>91</v>
      </c>
      <c r="B27" s="24">
        <f>B26</f>
        <v>0</v>
      </c>
      <c r="C27" s="82"/>
      <c r="D27" s="79"/>
      <c r="E27" s="65"/>
      <c r="F27" s="65"/>
      <c r="G27" s="65"/>
    </row>
    <row r="28" spans="1:7" ht="15.75" x14ac:dyDescent="0.25">
      <c r="A28" s="87" t="s">
        <v>25</v>
      </c>
      <c r="B28" s="24">
        <v>1510.2</v>
      </c>
      <c r="C28" s="82"/>
      <c r="D28" s="79"/>
      <c r="E28" s="65"/>
      <c r="F28" s="65"/>
      <c r="G28" s="65"/>
    </row>
    <row r="29" spans="1:7" ht="15.75" x14ac:dyDescent="0.25">
      <c r="A29" s="137" t="s">
        <v>26</v>
      </c>
      <c r="B29" s="135"/>
      <c r="C29" s="82"/>
      <c r="D29" s="79"/>
      <c r="E29" s="65"/>
      <c r="F29" s="65"/>
      <c r="G29" s="65"/>
    </row>
    <row r="30" spans="1:7" ht="15.75" x14ac:dyDescent="0.25">
      <c r="A30" s="89"/>
      <c r="B30" s="17"/>
      <c r="C30" s="82"/>
      <c r="D30" s="79"/>
      <c r="E30" s="65"/>
      <c r="F30" s="65"/>
      <c r="G30" s="65"/>
    </row>
    <row r="31" spans="1:7" ht="15.75" x14ac:dyDescent="0.25">
      <c r="A31" s="90" t="s">
        <v>27</v>
      </c>
      <c r="B31" s="17"/>
      <c r="C31" s="82"/>
      <c r="D31" s="79"/>
      <c r="E31" s="65"/>
      <c r="F31" s="65"/>
      <c r="G31" s="65"/>
    </row>
    <row r="32" spans="1:7" s="141" customFormat="1" ht="31.5" x14ac:dyDescent="0.25">
      <c r="A32" s="91" t="s">
        <v>28</v>
      </c>
      <c r="B32" s="29">
        <f>SUM(B33:B41)</f>
        <v>35000</v>
      </c>
      <c r="C32" s="82"/>
      <c r="D32" s="79"/>
      <c r="E32" s="140">
        <f>(B24-B72)/1.2/1.03</f>
        <v>-46660.675012459571</v>
      </c>
      <c r="F32" s="140" t="e">
        <f>(#REF!-#REF!)/1.2/1.03</f>
        <v>#REF!</v>
      </c>
      <c r="G32" s="140" t="e">
        <f>(#REF!-#REF!)/1.2/1.03</f>
        <v>#REF!</v>
      </c>
    </row>
    <row r="33" spans="1:7" ht="15.75" x14ac:dyDescent="0.25">
      <c r="A33" s="142" t="s">
        <v>29</v>
      </c>
      <c r="B33" s="135">
        <v>35000</v>
      </c>
      <c r="C33" s="82"/>
      <c r="D33" s="79">
        <v>0</v>
      </c>
      <c r="E33" s="65"/>
      <c r="F33" s="65"/>
      <c r="G33" s="65"/>
    </row>
    <row r="34" spans="1:7" ht="15.75" hidden="1" x14ac:dyDescent="0.25">
      <c r="A34" s="169" t="s">
        <v>178</v>
      </c>
      <c r="B34" s="170"/>
      <c r="C34" s="82"/>
      <c r="D34" s="79">
        <v>0</v>
      </c>
      <c r="E34" s="65"/>
      <c r="F34" s="65"/>
      <c r="G34" s="65"/>
    </row>
    <row r="35" spans="1:7" ht="15.75" hidden="1" x14ac:dyDescent="0.25">
      <c r="A35" s="173" t="s">
        <v>179</v>
      </c>
      <c r="B35" s="187"/>
      <c r="C35" s="82"/>
      <c r="D35" s="79">
        <v>0</v>
      </c>
      <c r="E35" s="65"/>
      <c r="F35" s="65"/>
      <c r="G35" s="65"/>
    </row>
    <row r="36" spans="1:7" ht="15.75" hidden="1" x14ac:dyDescent="0.25">
      <c r="A36" s="33" t="s">
        <v>31</v>
      </c>
      <c r="B36" s="17"/>
      <c r="C36" s="82" t="s">
        <v>11</v>
      </c>
      <c r="D36" s="79">
        <v>0</v>
      </c>
      <c r="E36" s="65"/>
      <c r="F36" s="65"/>
      <c r="G36" s="65"/>
    </row>
    <row r="37" spans="1:7" ht="15.75" hidden="1" x14ac:dyDescent="0.25">
      <c r="A37" s="33" t="s">
        <v>33</v>
      </c>
      <c r="B37" s="17"/>
      <c r="C37" s="82"/>
      <c r="D37" s="79">
        <v>0</v>
      </c>
      <c r="E37" s="65"/>
      <c r="F37" s="65"/>
      <c r="G37" s="65"/>
    </row>
    <row r="38" spans="1:7" ht="15.75" hidden="1" x14ac:dyDescent="0.25">
      <c r="A38" s="33" t="s">
        <v>34</v>
      </c>
      <c r="B38" s="17"/>
      <c r="C38" s="82"/>
      <c r="D38" s="79">
        <v>0</v>
      </c>
      <c r="E38" s="65"/>
      <c r="F38" s="65"/>
      <c r="G38" s="65"/>
    </row>
    <row r="39" spans="1:7" ht="15.75" hidden="1" x14ac:dyDescent="0.25">
      <c r="A39" s="33" t="s">
        <v>162</v>
      </c>
      <c r="B39" s="17"/>
      <c r="C39" s="82"/>
      <c r="D39" s="79">
        <v>0</v>
      </c>
      <c r="E39" s="65"/>
      <c r="F39" s="65"/>
      <c r="G39" s="65"/>
    </row>
    <row r="40" spans="1:7" ht="15.75" hidden="1" x14ac:dyDescent="0.25">
      <c r="A40" s="33" t="s">
        <v>92</v>
      </c>
      <c r="B40" s="17"/>
      <c r="C40" s="82"/>
      <c r="D40" s="79"/>
      <c r="E40" s="65"/>
      <c r="F40" s="65"/>
      <c r="G40" s="65"/>
    </row>
    <row r="41" spans="1:7" ht="15.75" hidden="1" x14ac:dyDescent="0.25">
      <c r="A41" s="33" t="s">
        <v>108</v>
      </c>
      <c r="B41" s="17"/>
      <c r="C41" s="82"/>
      <c r="D41" s="79"/>
      <c r="E41" s="65"/>
      <c r="F41" s="65"/>
      <c r="G41" s="65"/>
    </row>
    <row r="42" spans="1:7" s="141" customFormat="1" ht="47.25" x14ac:dyDescent="0.25">
      <c r="A42" s="91" t="s">
        <v>102</v>
      </c>
      <c r="B42" s="29">
        <f>SUM(B43:B45)</f>
        <v>35130.921200000004</v>
      </c>
      <c r="C42" s="82"/>
      <c r="D42" s="79"/>
      <c r="E42" s="140"/>
      <c r="F42" s="140"/>
      <c r="G42" s="140"/>
    </row>
    <row r="43" spans="1:7" ht="15.75" x14ac:dyDescent="0.25">
      <c r="A43" s="33" t="s">
        <v>38</v>
      </c>
      <c r="B43" s="17">
        <v>23875.960000000003</v>
      </c>
      <c r="C43" s="80"/>
      <c r="D43" s="92"/>
      <c r="E43" s="65"/>
      <c r="F43" s="65"/>
      <c r="G43" s="65"/>
    </row>
    <row r="44" spans="1:7" ht="15.75" x14ac:dyDescent="0.25">
      <c r="A44" s="33" t="s">
        <v>39</v>
      </c>
      <c r="B44" s="17">
        <v>7688.99</v>
      </c>
      <c r="C44" s="80"/>
      <c r="D44" s="92"/>
      <c r="E44" s="65"/>
      <c r="F44" s="65"/>
      <c r="G44" s="65"/>
    </row>
    <row r="45" spans="1:7" ht="15.75" x14ac:dyDescent="0.25">
      <c r="A45" s="144" t="s">
        <v>40</v>
      </c>
      <c r="B45" s="135">
        <f>3256*1.0952</f>
        <v>3565.9712</v>
      </c>
      <c r="C45" s="80"/>
      <c r="D45" s="92"/>
      <c r="E45" s="65"/>
      <c r="F45" s="65"/>
      <c r="G45" s="65"/>
    </row>
    <row r="46" spans="1:7" s="3" customFormat="1" ht="15.75" x14ac:dyDescent="0.25">
      <c r="A46" s="91" t="s">
        <v>41</v>
      </c>
      <c r="B46" s="29">
        <f>SUM(B47:B54)</f>
        <v>941.75360000000001</v>
      </c>
      <c r="C46" s="82"/>
      <c r="D46" s="79"/>
    </row>
    <row r="47" spans="1:7" ht="15.75" hidden="1" x14ac:dyDescent="0.25">
      <c r="A47" s="33" t="s">
        <v>180</v>
      </c>
      <c r="B47" s="17">
        <v>0</v>
      </c>
      <c r="C47" s="82"/>
      <c r="D47" s="79"/>
      <c r="E47" s="65" t="s">
        <v>43</v>
      </c>
      <c r="F47" s="65"/>
      <c r="G47" s="65"/>
    </row>
    <row r="48" spans="1:7" ht="15.75" x14ac:dyDescent="0.25">
      <c r="A48" s="33" t="s">
        <v>163</v>
      </c>
      <c r="B48" s="17">
        <f>268*1.0952</f>
        <v>293.5136</v>
      </c>
      <c r="C48" s="82"/>
      <c r="D48" s="79"/>
      <c r="E48" s="65" t="s">
        <v>45</v>
      </c>
      <c r="F48" s="65"/>
      <c r="G48" s="65"/>
    </row>
    <row r="49" spans="1:5" ht="15.75" x14ac:dyDescent="0.25">
      <c r="A49" s="33" t="s">
        <v>61</v>
      </c>
      <c r="B49" s="17">
        <v>648.24</v>
      </c>
      <c r="C49" s="82"/>
      <c r="D49" s="79"/>
      <c r="E49" s="65"/>
    </row>
    <row r="50" spans="1:5" ht="15.75" hidden="1" x14ac:dyDescent="0.25">
      <c r="A50" s="33" t="s">
        <v>58</v>
      </c>
      <c r="B50" s="17">
        <v>0</v>
      </c>
      <c r="C50" s="82"/>
      <c r="D50" s="79">
        <v>23500</v>
      </c>
      <c r="E50" s="65"/>
    </row>
    <row r="51" spans="1:5" ht="15.75" hidden="1" x14ac:dyDescent="0.25">
      <c r="A51" s="33" t="s">
        <v>94</v>
      </c>
      <c r="B51" s="17">
        <v>0</v>
      </c>
      <c r="C51" s="82"/>
      <c r="D51" s="79">
        <v>0</v>
      </c>
      <c r="E51" s="65"/>
    </row>
    <row r="52" spans="1:5" ht="15.75" hidden="1" x14ac:dyDescent="0.25">
      <c r="A52" s="33" t="s">
        <v>60</v>
      </c>
      <c r="B52" s="146">
        <v>0</v>
      </c>
      <c r="C52" s="147">
        <v>1</v>
      </c>
      <c r="D52" s="79">
        <v>0</v>
      </c>
      <c r="E52" s="65"/>
    </row>
    <row r="53" spans="1:5" ht="15.75" hidden="1" x14ac:dyDescent="0.25">
      <c r="A53" s="33" t="s">
        <v>163</v>
      </c>
      <c r="B53" s="148"/>
      <c r="C53" s="147">
        <v>8</v>
      </c>
      <c r="D53" s="79">
        <v>1</v>
      </c>
      <c r="E53" s="65">
        <v>0</v>
      </c>
    </row>
    <row r="54" spans="1:5" ht="15.75" hidden="1" x14ac:dyDescent="0.25">
      <c r="A54" s="33" t="s">
        <v>62</v>
      </c>
      <c r="B54" s="146">
        <v>0</v>
      </c>
      <c r="C54" s="96"/>
      <c r="D54" s="92">
        <v>0</v>
      </c>
      <c r="E54" s="65"/>
    </row>
    <row r="55" spans="1:5" s="3" customFormat="1" ht="15.75" x14ac:dyDescent="0.25">
      <c r="A55" s="149" t="s">
        <v>63</v>
      </c>
      <c r="B55" s="139">
        <f>SUM(B56:B60)</f>
        <v>65828.313770000008</v>
      </c>
      <c r="C55" s="80"/>
      <c r="D55" s="92"/>
    </row>
    <row r="56" spans="1:5" ht="15.75" x14ac:dyDescent="0.25">
      <c r="A56" s="142" t="s">
        <v>65</v>
      </c>
      <c r="B56" s="135">
        <f>46833.48*1.09525</f>
        <v>51294.368970000003</v>
      </c>
      <c r="C56" s="80">
        <f>B56/B16</f>
        <v>42.94092725471593</v>
      </c>
      <c r="D56" s="92"/>
      <c r="E56" s="65"/>
    </row>
    <row r="57" spans="1:5" ht="15.75" hidden="1" x14ac:dyDescent="0.25">
      <c r="A57" s="144" t="s">
        <v>67</v>
      </c>
      <c r="B57" s="135"/>
      <c r="C57" s="80"/>
      <c r="D57" s="92"/>
      <c r="E57" s="65"/>
    </row>
    <row r="58" spans="1:5" ht="15.75" x14ac:dyDescent="0.25">
      <c r="A58" s="144" t="s">
        <v>68</v>
      </c>
      <c r="B58" s="135">
        <f>5.1*B15</f>
        <v>2540.8199999999997</v>
      </c>
      <c r="C58" s="80"/>
      <c r="D58" s="92"/>
      <c r="E58" s="65"/>
    </row>
    <row r="59" spans="1:5" ht="15.75" x14ac:dyDescent="0.25">
      <c r="A59" s="144" t="s">
        <v>69</v>
      </c>
      <c r="B59" s="135">
        <f>17.7*B15</f>
        <v>8818.14</v>
      </c>
      <c r="C59" s="80"/>
      <c r="D59" s="92"/>
      <c r="E59" s="65"/>
    </row>
    <row r="60" spans="1:5" ht="15.75" x14ac:dyDescent="0.25">
      <c r="A60" s="44" t="s">
        <v>70</v>
      </c>
      <c r="B60" s="17">
        <f>2899*1.0952</f>
        <v>3174.9847999999997</v>
      </c>
      <c r="C60" s="80"/>
      <c r="D60" s="92"/>
      <c r="E60" s="65"/>
    </row>
    <row r="61" spans="1:5" ht="63" x14ac:dyDescent="0.25">
      <c r="A61" s="101" t="s">
        <v>164</v>
      </c>
      <c r="B61" s="29">
        <f>SUM(B62:B62)</f>
        <v>18399.36</v>
      </c>
      <c r="C61" s="80"/>
      <c r="D61" s="92"/>
      <c r="E61" s="65"/>
    </row>
    <row r="62" spans="1:5" ht="15.75" x14ac:dyDescent="0.25">
      <c r="A62" s="144" t="s">
        <v>73</v>
      </c>
      <c r="B62" s="135">
        <f>15000*1.12*1.0952</f>
        <v>18399.36</v>
      </c>
      <c r="C62" s="80"/>
      <c r="D62" s="92"/>
      <c r="E62" s="65"/>
    </row>
    <row r="63" spans="1:5" s="3" customFormat="1" ht="31.5" x14ac:dyDescent="0.25">
      <c r="A63" s="149" t="s">
        <v>74</v>
      </c>
      <c r="B63" s="139">
        <f>SUM(B64:B67)</f>
        <v>1875.2940799999999</v>
      </c>
      <c r="C63" s="80"/>
      <c r="D63" s="92"/>
    </row>
    <row r="64" spans="1:5" ht="15.75" hidden="1" x14ac:dyDescent="0.25">
      <c r="A64" s="151" t="s">
        <v>165</v>
      </c>
      <c r="B64" s="135"/>
      <c r="C64" s="80"/>
      <c r="D64" s="92"/>
      <c r="E64" s="65"/>
    </row>
    <row r="65" spans="1:4" ht="15.75" hidden="1" x14ac:dyDescent="0.25">
      <c r="A65" s="47" t="s">
        <v>76</v>
      </c>
      <c r="B65" s="17">
        <f>(B26/1.2)*30%</f>
        <v>0</v>
      </c>
      <c r="C65" s="80"/>
      <c r="D65" s="92"/>
    </row>
    <row r="66" spans="1:4" ht="15.75" x14ac:dyDescent="0.25">
      <c r="A66" s="174" t="s">
        <v>166</v>
      </c>
      <c r="B66" s="17">
        <v>928.89</v>
      </c>
      <c r="C66" s="80"/>
      <c r="D66" s="92"/>
    </row>
    <row r="67" spans="1:4" ht="15.75" x14ac:dyDescent="0.25">
      <c r="A67" s="152" t="s">
        <v>167</v>
      </c>
      <c r="B67" s="135">
        <f>B25/100*0.8</f>
        <v>946.40407999999991</v>
      </c>
      <c r="C67" s="80"/>
      <c r="D67" s="92"/>
    </row>
    <row r="68" spans="1:4" ht="15.75" x14ac:dyDescent="0.25">
      <c r="A68" s="103" t="s">
        <v>79</v>
      </c>
      <c r="B68" s="24">
        <f>B32+B42+B46+B55+B61+B63</f>
        <v>157175.64265000002</v>
      </c>
      <c r="C68" s="80"/>
      <c r="D68" s="92"/>
    </row>
    <row r="69" spans="1:4" ht="15.75" x14ac:dyDescent="0.25">
      <c r="A69" s="154" t="s">
        <v>80</v>
      </c>
      <c r="B69" s="135">
        <f>B68*0.03</f>
        <v>4715.2692795000003</v>
      </c>
      <c r="C69" s="80"/>
      <c r="D69" s="92"/>
    </row>
    <row r="70" spans="1:4" s="141" customFormat="1" ht="15.75" x14ac:dyDescent="0.25">
      <c r="A70" s="155" t="s">
        <v>81</v>
      </c>
      <c r="B70" s="139">
        <f>B68+B69</f>
        <v>161890.91192950003</v>
      </c>
      <c r="C70" s="80"/>
      <c r="D70" s="92"/>
    </row>
    <row r="71" spans="1:4" ht="16.5" thickBot="1" x14ac:dyDescent="0.3">
      <c r="A71" s="106" t="s">
        <v>82</v>
      </c>
      <c r="B71" s="53">
        <f>B70*0.2</f>
        <v>32378.182385900007</v>
      </c>
      <c r="C71" s="80"/>
      <c r="D71" s="92"/>
    </row>
    <row r="72" spans="1:4" s="3" customFormat="1" ht="16.5" thickBot="1" x14ac:dyDescent="0.3">
      <c r="A72" s="107" t="s">
        <v>83</v>
      </c>
      <c r="B72" s="55">
        <f>B70+B71</f>
        <v>194269.09431540003</v>
      </c>
      <c r="C72" s="108"/>
      <c r="D72" s="76"/>
    </row>
    <row r="73" spans="1:4" s="3" customFormat="1" ht="16.5" thickBot="1" x14ac:dyDescent="0.3">
      <c r="A73" s="109" t="s">
        <v>84</v>
      </c>
      <c r="B73" s="55">
        <f>B10+B24+B26+B28+B29-B72</f>
        <v>-766463.39431540004</v>
      </c>
      <c r="C73" s="111"/>
      <c r="D73" s="111"/>
    </row>
    <row r="74" spans="1:4" s="3" customFormat="1" ht="16.5" hidden="1" thickBot="1" x14ac:dyDescent="0.3">
      <c r="A74" s="112" t="s">
        <v>85</v>
      </c>
      <c r="B74" s="55"/>
      <c r="C74" s="111"/>
      <c r="D74" s="111"/>
    </row>
    <row r="75" spans="1:4" s="3" customFormat="1" ht="16.5" hidden="1" thickBot="1" x14ac:dyDescent="0.3">
      <c r="A75" s="167" t="s">
        <v>86</v>
      </c>
      <c r="B75" s="55"/>
      <c r="C75" s="111"/>
      <c r="D75" s="111"/>
    </row>
    <row r="76" spans="1:4" s="3" customFormat="1" ht="15.75" x14ac:dyDescent="0.25">
      <c r="A76" s="115"/>
      <c r="B76" s="64"/>
      <c r="C76" s="111"/>
      <c r="D76" s="111"/>
    </row>
    <row r="77" spans="1:4" ht="15.75" x14ac:dyDescent="0.25">
      <c r="A77" s="128"/>
      <c r="B77" s="65"/>
      <c r="C77" s="65"/>
      <c r="D77" s="65"/>
    </row>
    <row r="78" spans="1:4" ht="15.75" x14ac:dyDescent="0.25">
      <c r="A78" s="214" t="s">
        <v>414</v>
      </c>
      <c r="B78" s="214"/>
      <c r="C78" s="65"/>
      <c r="D78" s="65"/>
    </row>
    <row r="79" spans="1:4" ht="15.75" x14ac:dyDescent="0.25">
      <c r="A79" s="128"/>
      <c r="B79" s="161"/>
      <c r="C79" s="65"/>
      <c r="D79" s="65"/>
    </row>
    <row r="80" spans="1:4" ht="15.75" x14ac:dyDescent="0.25">
      <c r="A80" s="209"/>
      <c r="B80" s="209"/>
      <c r="C80" s="161"/>
      <c r="D80" s="65"/>
    </row>
    <row r="81" spans="1:1" ht="15.75" x14ac:dyDescent="0.25">
      <c r="A81" s="65"/>
    </row>
    <row r="82" spans="1:1" ht="15.75" x14ac:dyDescent="0.25">
      <c r="A82" s="65"/>
    </row>
    <row r="83" spans="1:1" ht="15.75" x14ac:dyDescent="0.25">
      <c r="A83" s="65"/>
    </row>
    <row r="84" spans="1:1" ht="15.75" x14ac:dyDescent="0.25">
      <c r="A84" s="65"/>
    </row>
    <row r="85" spans="1:1" ht="15.75" x14ac:dyDescent="0.25">
      <c r="A85" s="65"/>
    </row>
    <row r="86" spans="1:1" ht="15.75" x14ac:dyDescent="0.25">
      <c r="A86" s="65"/>
    </row>
    <row r="89" spans="1:1" ht="15.75" hidden="1" x14ac:dyDescent="0.25">
      <c r="A89" s="65"/>
    </row>
    <row r="90" spans="1:1" ht="15.75" x14ac:dyDescent="0.25">
      <c r="A90" s="65"/>
    </row>
  </sheetData>
  <autoFilter ref="A32:B75" xr:uid="{00000000-0009-0000-0000-000024000000}">
    <filterColumn colId="1">
      <filters>
        <filter val="1 875,29"/>
        <filter val="157 175,64"/>
        <filter val="161 890,91"/>
        <filter val="18 399,36"/>
        <filter val="194 269,09"/>
        <filter val="2 540,82"/>
        <filter val="23 875,96"/>
        <filter val="293,51"/>
        <filter val="3 174,98"/>
        <filter val="3 565,97"/>
        <filter val="32 378,18"/>
        <filter val="35 000,00"/>
        <filter val="35 130,92"/>
        <filter val="4 715,27"/>
        <filter val="51 294,37"/>
        <filter val="648,24"/>
        <filter val="65 828,31"/>
        <filter val="7 688,99"/>
        <filter val="-766 463,39"/>
        <filter val="8 818,14"/>
        <filter val="928,89"/>
        <filter val="941,75"/>
        <filter val="946,40"/>
      </filters>
    </filterColumn>
  </autoFilter>
  <mergeCells count="9">
    <mergeCell ref="D8:D9"/>
    <mergeCell ref="A78:B78"/>
    <mergeCell ref="A80:B80"/>
    <mergeCell ref="A1:B1"/>
    <mergeCell ref="A2:B2"/>
    <mergeCell ref="A3:B3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filterMode="1">
    <pageSetUpPr fitToPage="1"/>
  </sheetPr>
  <dimension ref="A1:G90"/>
  <sheetViews>
    <sheetView view="pageBreakPreview" topLeftCell="A7" zoomScale="80" zoomScaleNormal="100" zoomScaleSheetLayoutView="80" workbookViewId="0">
      <selection activeCell="A25" sqref="A2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91.57031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91.57031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91.57031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91.57031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91.57031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91.57031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91.57031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91.57031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91.57031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91.57031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91.57031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91.57031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91.57031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91.57031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91.57031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91.57031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91.57031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91.57031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91.57031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91.57031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91.57031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91.57031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91.57031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91.57031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91.57031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91.57031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91.57031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91.57031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91.57031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91.57031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91.57031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91.57031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91.57031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91.57031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91.57031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91.57031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91.57031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91.57031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91.57031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91.57031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91.57031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91.57031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91.57031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91.57031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91.57031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91.57031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91.57031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91.57031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91.57031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91.57031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91.57031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91.57031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91.57031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91.57031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91.57031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91.57031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91.57031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91.57031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91.57031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91.57031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91.57031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91.57031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91.57031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6" t="s">
        <v>0</v>
      </c>
      <c r="B1" s="196"/>
      <c r="C1" s="65"/>
      <c r="D1" s="65"/>
    </row>
    <row r="2" spans="1:4" ht="16.5" x14ac:dyDescent="0.25">
      <c r="A2" s="198" t="s">
        <v>1</v>
      </c>
      <c r="B2" s="198"/>
      <c r="C2" s="65"/>
      <c r="D2" s="65"/>
    </row>
    <row r="3" spans="1:4" ht="16.5" x14ac:dyDescent="0.25">
      <c r="A3" s="198" t="s">
        <v>2</v>
      </c>
      <c r="B3" s="198"/>
      <c r="C3" s="65"/>
      <c r="D3" s="65"/>
    </row>
    <row r="4" spans="1:4" ht="15.75" x14ac:dyDescent="0.25">
      <c r="A4" s="69" t="s">
        <v>97</v>
      </c>
      <c r="B4" s="69"/>
      <c r="C4" s="65"/>
      <c r="D4" s="65"/>
    </row>
    <row r="5" spans="1:4" ht="15.75" x14ac:dyDescent="0.25">
      <c r="A5" s="69" t="s">
        <v>174</v>
      </c>
      <c r="B5" s="182"/>
      <c r="C5" s="65"/>
      <c r="D5" s="65"/>
    </row>
    <row r="6" spans="1:4" ht="5.25" customHeight="1" x14ac:dyDescent="0.25">
      <c r="A6" s="69"/>
      <c r="B6" s="3"/>
      <c r="C6" s="3"/>
      <c r="D6" s="65"/>
    </row>
    <row r="7" spans="1:4" ht="16.5" thickBot="1" x14ac:dyDescent="0.3">
      <c r="A7" s="168"/>
      <c r="B7" s="3"/>
      <c r="C7" s="3"/>
      <c r="D7" s="65"/>
    </row>
    <row r="8" spans="1:4" ht="15.75" customHeight="1" x14ac:dyDescent="0.25">
      <c r="A8" s="210" t="s">
        <v>4</v>
      </c>
      <c r="B8" s="201" t="s">
        <v>5</v>
      </c>
      <c r="C8" s="207" t="s">
        <v>6</v>
      </c>
      <c r="D8" s="207" t="s">
        <v>7</v>
      </c>
    </row>
    <row r="9" spans="1:4" ht="28.5" customHeight="1" thickBot="1" x14ac:dyDescent="0.3">
      <c r="A9" s="211"/>
      <c r="B9" s="202"/>
      <c r="C9" s="208"/>
      <c r="D9" s="208"/>
    </row>
    <row r="10" spans="1:4" ht="16.5" thickBot="1" x14ac:dyDescent="0.3">
      <c r="A10" s="70" t="s">
        <v>8</v>
      </c>
      <c r="B10" s="176">
        <v>-1880384.33</v>
      </c>
      <c r="C10" s="72"/>
      <c r="D10" s="72"/>
    </row>
    <row r="11" spans="1:4" ht="16.5" hidden="1" thickBot="1" x14ac:dyDescent="0.3">
      <c r="A11" s="131" t="s">
        <v>9</v>
      </c>
      <c r="B11" s="130"/>
      <c r="C11" s="74"/>
      <c r="D11" s="74"/>
    </row>
    <row r="12" spans="1:4" ht="15.75" x14ac:dyDescent="0.25">
      <c r="A12" s="75" t="s">
        <v>10</v>
      </c>
      <c r="B12" s="177"/>
      <c r="C12" s="77" t="s">
        <v>11</v>
      </c>
      <c r="D12" s="133" t="s">
        <v>11</v>
      </c>
    </row>
    <row r="13" spans="1:4" ht="15.75" hidden="1" x14ac:dyDescent="0.25">
      <c r="A13" s="134" t="s">
        <v>12</v>
      </c>
      <c r="B13" s="135">
        <v>795.9</v>
      </c>
      <c r="C13" s="82" t="s">
        <v>11</v>
      </c>
      <c r="D13" s="79" t="s">
        <v>11</v>
      </c>
    </row>
    <row r="14" spans="1:4" ht="15.75" hidden="1" x14ac:dyDescent="0.25">
      <c r="A14" s="134" t="s">
        <v>13</v>
      </c>
      <c r="B14" s="135">
        <v>0</v>
      </c>
      <c r="C14" s="82"/>
      <c r="D14" s="79"/>
    </row>
    <row r="15" spans="1:4" ht="15.75" x14ac:dyDescent="0.25">
      <c r="A15" s="78" t="s">
        <v>14</v>
      </c>
      <c r="B15" s="17">
        <f>B13+B14</f>
        <v>795.9</v>
      </c>
      <c r="C15" s="82"/>
      <c r="D15" s="79"/>
    </row>
    <row r="16" spans="1:4" ht="15.75" x14ac:dyDescent="0.25">
      <c r="A16" s="78" t="s">
        <v>15</v>
      </c>
      <c r="B16" s="17">
        <f>634.5+760.3/3</f>
        <v>887.93333333333328</v>
      </c>
      <c r="C16" s="82" t="s">
        <v>11</v>
      </c>
      <c r="D16" s="79" t="s">
        <v>11</v>
      </c>
    </row>
    <row r="17" spans="1:7" ht="15.75" hidden="1" x14ac:dyDescent="0.25">
      <c r="A17" s="134" t="s">
        <v>16</v>
      </c>
      <c r="B17" s="135">
        <v>0</v>
      </c>
      <c r="C17" s="82" t="s">
        <v>11</v>
      </c>
      <c r="D17" s="79" t="s">
        <v>11</v>
      </c>
      <c r="E17" s="65"/>
      <c r="F17" s="65"/>
      <c r="G17" s="65"/>
    </row>
    <row r="18" spans="1:7" ht="15.75" hidden="1" x14ac:dyDescent="0.25">
      <c r="A18" s="134" t="s">
        <v>17</v>
      </c>
      <c r="B18" s="135">
        <v>0</v>
      </c>
      <c r="C18" s="82" t="s">
        <v>11</v>
      </c>
      <c r="D18" s="79" t="s">
        <v>11</v>
      </c>
      <c r="E18" s="65"/>
      <c r="F18" s="65"/>
      <c r="G18" s="65"/>
    </row>
    <row r="19" spans="1:7" ht="15.75" hidden="1" x14ac:dyDescent="0.25">
      <c r="A19" s="134" t="s">
        <v>18</v>
      </c>
      <c r="B19" s="135">
        <v>0</v>
      </c>
      <c r="C19" s="82" t="s">
        <v>11</v>
      </c>
      <c r="D19" s="79" t="s">
        <v>11</v>
      </c>
      <c r="E19" s="65"/>
      <c r="F19" s="65"/>
      <c r="G19" s="65"/>
    </row>
    <row r="20" spans="1:7" ht="15.75" hidden="1" x14ac:dyDescent="0.25">
      <c r="A20" s="134" t="s">
        <v>19</v>
      </c>
      <c r="B20" s="135">
        <v>365.9</v>
      </c>
      <c r="C20" s="82"/>
      <c r="D20" s="79"/>
      <c r="E20" s="65"/>
      <c r="F20" s="65"/>
      <c r="G20" s="65"/>
    </row>
    <row r="21" spans="1:7" ht="15.75" hidden="1" x14ac:dyDescent="0.25">
      <c r="A21" s="134" t="s">
        <v>20</v>
      </c>
      <c r="B21" s="135">
        <v>0</v>
      </c>
      <c r="C21" s="82" t="s">
        <v>11</v>
      </c>
      <c r="D21" s="79" t="s">
        <v>11</v>
      </c>
      <c r="E21" s="65"/>
      <c r="F21" s="65"/>
      <c r="G21" s="65"/>
    </row>
    <row r="22" spans="1:7" ht="15.75" hidden="1" x14ac:dyDescent="0.25">
      <c r="A22" s="134" t="s">
        <v>21</v>
      </c>
      <c r="B22" s="135">
        <v>66</v>
      </c>
      <c r="C22" s="82"/>
      <c r="D22" s="79"/>
      <c r="E22" s="65"/>
      <c r="F22" s="65"/>
      <c r="G22" s="65"/>
    </row>
    <row r="23" spans="1:7" ht="15.75" x14ac:dyDescent="0.25">
      <c r="A23" s="78"/>
      <c r="B23" s="17"/>
      <c r="C23" s="82"/>
      <c r="D23" s="79"/>
      <c r="E23" s="65">
        <v>10</v>
      </c>
      <c r="F23" s="65">
        <v>2</v>
      </c>
      <c r="G23" s="65"/>
    </row>
    <row r="24" spans="1:7" ht="15.75" x14ac:dyDescent="0.25">
      <c r="A24" s="87" t="s">
        <v>153</v>
      </c>
      <c r="B24" s="24">
        <f>VLOOKUP(A5,Лист11!K:M,2,FALSE)</f>
        <v>192416.74</v>
      </c>
      <c r="C24" s="82"/>
      <c r="D24" s="79"/>
      <c r="E24" s="67">
        <v>17.779999998000001</v>
      </c>
      <c r="F24" s="68">
        <v>19.9029319977612</v>
      </c>
      <c r="G24" s="65"/>
    </row>
    <row r="25" spans="1:7" ht="15.75" x14ac:dyDescent="0.25">
      <c r="A25" s="87" t="s">
        <v>154</v>
      </c>
      <c r="B25" s="24">
        <f>VLOOKUP(A5,Лист11!K:M,3,FALSE)</f>
        <v>202029.76</v>
      </c>
      <c r="C25" s="82"/>
      <c r="D25" s="79"/>
      <c r="E25" s="65"/>
      <c r="F25" s="65"/>
      <c r="G25" s="65"/>
    </row>
    <row r="26" spans="1:7" ht="15.75" hidden="1" x14ac:dyDescent="0.25">
      <c r="A26" s="87" t="s">
        <v>160</v>
      </c>
      <c r="B26" s="24"/>
      <c r="C26" s="82"/>
      <c r="D26" s="79"/>
      <c r="E26" s="65"/>
      <c r="F26" s="65"/>
      <c r="G26" s="65"/>
    </row>
    <row r="27" spans="1:7" ht="15.75" hidden="1" x14ac:dyDescent="0.25">
      <c r="A27" s="87" t="s">
        <v>91</v>
      </c>
      <c r="B27" s="24">
        <f>B26</f>
        <v>0</v>
      </c>
      <c r="C27" s="82"/>
      <c r="D27" s="79"/>
      <c r="E27" s="65"/>
      <c r="F27" s="65"/>
      <c r="G27" s="65"/>
    </row>
    <row r="28" spans="1:7" ht="15.75" x14ac:dyDescent="0.25">
      <c r="A28" s="87" t="s">
        <v>25</v>
      </c>
      <c r="B28" s="24">
        <v>1510.2</v>
      </c>
      <c r="C28" s="82"/>
      <c r="D28" s="79"/>
      <c r="E28" s="65"/>
      <c r="F28" s="65"/>
      <c r="G28" s="65"/>
    </row>
    <row r="29" spans="1:7" ht="15.75" hidden="1" x14ac:dyDescent="0.25">
      <c r="A29" s="137" t="s">
        <v>26</v>
      </c>
      <c r="B29" s="135"/>
      <c r="C29" s="82"/>
      <c r="D29" s="79"/>
      <c r="E29" s="65"/>
      <c r="F29" s="65"/>
      <c r="G29" s="65"/>
    </row>
    <row r="30" spans="1:7" ht="15.75" x14ac:dyDescent="0.25">
      <c r="A30" s="89"/>
      <c r="B30" s="17"/>
      <c r="C30" s="82"/>
      <c r="D30" s="79"/>
      <c r="E30" s="65"/>
      <c r="F30" s="65"/>
      <c r="G30" s="65"/>
    </row>
    <row r="31" spans="1:7" ht="15.75" x14ac:dyDescent="0.25">
      <c r="A31" s="90" t="s">
        <v>27</v>
      </c>
      <c r="B31" s="17"/>
      <c r="C31" s="82"/>
      <c r="D31" s="79"/>
      <c r="E31" s="65"/>
      <c r="F31" s="65"/>
      <c r="G31" s="65"/>
    </row>
    <row r="32" spans="1:7" s="141" customFormat="1" ht="31.5" x14ac:dyDescent="0.25">
      <c r="A32" s="91" t="s">
        <v>28</v>
      </c>
      <c r="B32" s="29">
        <f>SUM(B33:B41)</f>
        <v>45000</v>
      </c>
      <c r="C32" s="82"/>
      <c r="D32" s="79"/>
      <c r="E32" s="140">
        <f>(B24-B68)/1.2/1.03</f>
        <v>737.60763003239765</v>
      </c>
      <c r="F32" s="140" t="e">
        <f>(#REF!-#REF!)/1.2/1.03</f>
        <v>#REF!</v>
      </c>
      <c r="G32" s="140" t="e">
        <f>(#REF!-#REF!)/1.2/1.03</f>
        <v>#REF!</v>
      </c>
    </row>
    <row r="33" spans="1:7" ht="15.75" x14ac:dyDescent="0.25">
      <c r="A33" s="142" t="s">
        <v>29</v>
      </c>
      <c r="B33" s="135">
        <v>45000</v>
      </c>
      <c r="C33" s="82"/>
      <c r="D33" s="79">
        <v>0</v>
      </c>
      <c r="E33" s="65"/>
      <c r="F33" s="65"/>
      <c r="G33" s="65"/>
    </row>
    <row r="34" spans="1:7" ht="15.75" hidden="1" x14ac:dyDescent="0.25">
      <c r="A34" s="169" t="s">
        <v>175</v>
      </c>
      <c r="B34" s="170"/>
      <c r="C34" s="82"/>
      <c r="D34" s="79">
        <v>0</v>
      </c>
      <c r="E34" s="65"/>
      <c r="F34" s="65"/>
      <c r="G34" s="65"/>
    </row>
    <row r="35" spans="1:7" ht="15.75" hidden="1" x14ac:dyDescent="0.25">
      <c r="A35" s="173" t="s">
        <v>176</v>
      </c>
      <c r="B35" s="186"/>
      <c r="C35" s="82"/>
      <c r="D35" s="79">
        <v>0</v>
      </c>
      <c r="E35" s="65"/>
      <c r="F35" s="65"/>
      <c r="G35" s="65"/>
    </row>
    <row r="36" spans="1:7" ht="15.75" hidden="1" x14ac:dyDescent="0.25">
      <c r="A36" s="33" t="s">
        <v>36</v>
      </c>
      <c r="B36" s="17"/>
      <c r="C36" s="82" t="s">
        <v>11</v>
      </c>
      <c r="D36" s="79">
        <v>0</v>
      </c>
      <c r="E36" s="65"/>
      <c r="F36" s="65"/>
      <c r="G36" s="65"/>
    </row>
    <row r="37" spans="1:7" ht="15.75" hidden="1" x14ac:dyDescent="0.25">
      <c r="A37" s="33" t="s">
        <v>33</v>
      </c>
      <c r="B37" s="135"/>
      <c r="C37" s="82"/>
      <c r="D37" s="79">
        <v>0</v>
      </c>
      <c r="E37" s="65"/>
      <c r="F37" s="65"/>
      <c r="G37" s="65"/>
    </row>
    <row r="38" spans="1:7" ht="15.75" hidden="1" x14ac:dyDescent="0.25">
      <c r="A38" s="33" t="s">
        <v>34</v>
      </c>
      <c r="B38" s="17"/>
      <c r="C38" s="82"/>
      <c r="D38" s="79">
        <v>0</v>
      </c>
      <c r="E38" s="65"/>
      <c r="F38" s="65"/>
      <c r="G38" s="65"/>
    </row>
    <row r="39" spans="1:7" ht="15.75" hidden="1" x14ac:dyDescent="0.25">
      <c r="A39" s="33" t="s">
        <v>162</v>
      </c>
      <c r="B39" s="17"/>
      <c r="C39" s="82"/>
      <c r="D39" s="79">
        <v>0</v>
      </c>
      <c r="E39" s="65"/>
      <c r="F39" s="65"/>
      <c r="G39" s="65"/>
    </row>
    <row r="40" spans="1:7" ht="15.75" hidden="1" x14ac:dyDescent="0.25">
      <c r="A40" s="33" t="s">
        <v>92</v>
      </c>
      <c r="B40" s="17"/>
      <c r="C40" s="82"/>
      <c r="D40" s="79"/>
      <c r="E40" s="65"/>
      <c r="F40" s="65"/>
      <c r="G40" s="65"/>
    </row>
    <row r="41" spans="1:7" ht="15.75" hidden="1" x14ac:dyDescent="0.25">
      <c r="A41" s="33" t="s">
        <v>108</v>
      </c>
      <c r="B41" s="17"/>
      <c r="C41" s="82"/>
      <c r="D41" s="79"/>
      <c r="E41" s="65"/>
      <c r="F41" s="65"/>
      <c r="G41" s="65"/>
    </row>
    <row r="42" spans="1:7" s="141" customFormat="1" ht="47.25" x14ac:dyDescent="0.25">
      <c r="A42" s="91" t="s">
        <v>102</v>
      </c>
      <c r="B42" s="29">
        <f>SUM(B43:B45)</f>
        <v>6120.2460000000001</v>
      </c>
      <c r="C42" s="82"/>
      <c r="D42" s="79"/>
      <c r="E42" s="140"/>
      <c r="F42" s="140"/>
      <c r="G42" s="140"/>
    </row>
    <row r="43" spans="1:7" ht="15.75" hidden="1" x14ac:dyDescent="0.25">
      <c r="A43" s="33" t="s">
        <v>38</v>
      </c>
      <c r="B43" s="17"/>
      <c r="C43" s="80"/>
      <c r="D43" s="92"/>
      <c r="E43" s="65"/>
      <c r="F43" s="65"/>
      <c r="G43" s="65"/>
    </row>
    <row r="44" spans="1:7" ht="15.75" x14ac:dyDescent="0.25">
      <c r="A44" s="33" t="s">
        <v>39</v>
      </c>
      <c r="B44" s="17">
        <v>1213.75</v>
      </c>
      <c r="C44" s="80"/>
      <c r="D44" s="92"/>
      <c r="E44" s="65"/>
      <c r="F44" s="65"/>
      <c r="G44" s="65"/>
    </row>
    <row r="45" spans="1:7" ht="15.75" x14ac:dyDescent="0.25">
      <c r="A45" s="144" t="s">
        <v>40</v>
      </c>
      <c r="B45" s="135">
        <f>4000*1.12*1.0952</f>
        <v>4906.4960000000001</v>
      </c>
      <c r="C45" s="80"/>
      <c r="D45" s="92"/>
      <c r="E45" s="65"/>
      <c r="F45" s="65"/>
      <c r="G45" s="65"/>
    </row>
    <row r="46" spans="1:7" s="3" customFormat="1" ht="15.75" x14ac:dyDescent="0.25">
      <c r="A46" s="91" t="s">
        <v>41</v>
      </c>
      <c r="B46" s="29">
        <f>SUM(B47:B48)</f>
        <v>10613.28</v>
      </c>
      <c r="C46" s="82"/>
      <c r="D46" s="79"/>
    </row>
    <row r="47" spans="1:7" ht="15.75" x14ac:dyDescent="0.25">
      <c r="A47" s="145" t="s">
        <v>423</v>
      </c>
      <c r="B47" s="135">
        <v>10300</v>
      </c>
      <c r="C47" s="82"/>
      <c r="D47" s="95"/>
      <c r="E47" s="65"/>
      <c r="F47" s="65"/>
      <c r="G47" s="65"/>
    </row>
    <row r="48" spans="1:7" ht="15.75" x14ac:dyDescent="0.25">
      <c r="A48" s="33" t="s">
        <v>46</v>
      </c>
      <c r="B48" s="146">
        <v>313.27999999999997</v>
      </c>
      <c r="C48" s="96"/>
      <c r="D48" s="92">
        <v>0</v>
      </c>
      <c r="E48" s="65"/>
      <c r="F48" s="65"/>
      <c r="G48" s="65"/>
    </row>
    <row r="49" spans="1:4" s="3" customFormat="1" ht="15.75" x14ac:dyDescent="0.25">
      <c r="A49" s="99" t="s">
        <v>63</v>
      </c>
      <c r="B49" s="29">
        <f>SUM(B50:B57)</f>
        <v>60498.652799999996</v>
      </c>
      <c r="C49" s="80"/>
      <c r="D49" s="92"/>
    </row>
    <row r="50" spans="1:4" ht="15.75" hidden="1" x14ac:dyDescent="0.25">
      <c r="A50" s="142" t="s">
        <v>64</v>
      </c>
      <c r="B50" s="135">
        <v>0</v>
      </c>
      <c r="C50" s="80"/>
      <c r="D50" s="92"/>
    </row>
    <row r="51" spans="1:4" ht="15.75" x14ac:dyDescent="0.25">
      <c r="A51" s="142" t="s">
        <v>65</v>
      </c>
      <c r="B51" s="135">
        <v>37956</v>
      </c>
      <c r="C51" s="80">
        <f>45*B16</f>
        <v>39957</v>
      </c>
      <c r="D51" s="92"/>
    </row>
    <row r="52" spans="1:4" ht="15.75" hidden="1" x14ac:dyDescent="0.25">
      <c r="A52" s="142" t="s">
        <v>66</v>
      </c>
      <c r="B52" s="135"/>
      <c r="C52" s="80"/>
      <c r="D52" s="92"/>
    </row>
    <row r="53" spans="1:4" ht="15.75" hidden="1" x14ac:dyDescent="0.25">
      <c r="A53" s="144" t="s">
        <v>67</v>
      </c>
      <c r="B53" s="135"/>
      <c r="C53" s="80"/>
      <c r="D53" s="92"/>
    </row>
    <row r="54" spans="1:4" ht="15.75" x14ac:dyDescent="0.25">
      <c r="A54" s="144" t="s">
        <v>68</v>
      </c>
      <c r="B54" s="135">
        <f>5.1*B15</f>
        <v>4059.0899999999997</v>
      </c>
      <c r="C54" s="80"/>
      <c r="D54" s="92"/>
    </row>
    <row r="55" spans="1:4" ht="15.75" x14ac:dyDescent="0.25">
      <c r="A55" s="144" t="s">
        <v>69</v>
      </c>
      <c r="B55" s="135">
        <f>17.7*B15</f>
        <v>14087.429999999998</v>
      </c>
      <c r="C55" s="80"/>
      <c r="D55" s="92"/>
    </row>
    <row r="56" spans="1:4" ht="15.75" x14ac:dyDescent="0.25">
      <c r="A56" s="144" t="s">
        <v>70</v>
      </c>
      <c r="B56" s="135">
        <f>562*1.0952</f>
        <v>615.50239999999997</v>
      </c>
      <c r="C56" s="80"/>
      <c r="D56" s="92"/>
    </row>
    <row r="57" spans="1:4" ht="15.75" x14ac:dyDescent="0.25">
      <c r="A57" s="144" t="s">
        <v>71</v>
      </c>
      <c r="B57" s="135">
        <f>3452*1.0952</f>
        <v>3780.6304</v>
      </c>
      <c r="C57" s="80"/>
      <c r="D57" s="92"/>
    </row>
    <row r="58" spans="1:4" ht="63" x14ac:dyDescent="0.25">
      <c r="A58" s="150" t="s">
        <v>164</v>
      </c>
      <c r="B58" s="138">
        <f>B59</f>
        <v>29130.1296</v>
      </c>
      <c r="C58" s="80"/>
      <c r="D58" s="92"/>
    </row>
    <row r="59" spans="1:4" ht="15.75" x14ac:dyDescent="0.25">
      <c r="A59" s="144" t="s">
        <v>73</v>
      </c>
      <c r="B59" s="135">
        <f>26598*1.0952</f>
        <v>29130.1296</v>
      </c>
      <c r="C59" s="80"/>
      <c r="D59" s="92"/>
    </row>
    <row r="60" spans="1:4" s="3" customFormat="1" ht="31.5" x14ac:dyDescent="0.25">
      <c r="A60" s="99" t="s">
        <v>74</v>
      </c>
      <c r="B60" s="29">
        <f>B62+B63</f>
        <v>3577.0580799999998</v>
      </c>
      <c r="C60" s="80"/>
      <c r="D60" s="92"/>
    </row>
    <row r="61" spans="1:4" ht="15.75" hidden="1" x14ac:dyDescent="0.25">
      <c r="A61" s="47" t="s">
        <v>165</v>
      </c>
      <c r="B61" s="17"/>
      <c r="C61" s="80"/>
      <c r="D61" s="92"/>
    </row>
    <row r="62" spans="1:4" ht="15.75" x14ac:dyDescent="0.25">
      <c r="A62" s="152" t="s">
        <v>166</v>
      </c>
      <c r="B62" s="135">
        <v>1960.82</v>
      </c>
      <c r="C62" s="80"/>
      <c r="D62" s="92"/>
    </row>
    <row r="63" spans="1:4" ht="15.75" x14ac:dyDescent="0.25">
      <c r="A63" s="152" t="s">
        <v>167</v>
      </c>
      <c r="B63" s="135">
        <f>B25/100*0.8</f>
        <v>1616.2380800000001</v>
      </c>
      <c r="C63" s="80"/>
      <c r="D63" s="92"/>
    </row>
    <row r="64" spans="1:4" ht="15.75" x14ac:dyDescent="0.25">
      <c r="A64" s="153" t="s">
        <v>79</v>
      </c>
      <c r="B64" s="138">
        <f>B32+B42+B46+B49+B58+B60</f>
        <v>154939.36647999997</v>
      </c>
      <c r="C64" s="80"/>
      <c r="D64" s="92"/>
    </row>
    <row r="65" spans="1:4" ht="15.75" x14ac:dyDescent="0.25">
      <c r="A65" s="154" t="s">
        <v>80</v>
      </c>
      <c r="B65" s="135">
        <f>B64*0.03</f>
        <v>4648.1809943999988</v>
      </c>
      <c r="C65" s="80"/>
      <c r="D65" s="92"/>
    </row>
    <row r="66" spans="1:4" s="141" customFormat="1" ht="15.75" x14ac:dyDescent="0.25">
      <c r="A66" s="105" t="s">
        <v>81</v>
      </c>
      <c r="B66" s="29">
        <f>B64+B65</f>
        <v>159587.54747439997</v>
      </c>
      <c r="C66" s="80"/>
      <c r="D66" s="92"/>
    </row>
    <row r="67" spans="1:4" ht="16.5" thickBot="1" x14ac:dyDescent="0.3">
      <c r="A67" s="156" t="s">
        <v>82</v>
      </c>
      <c r="B67" s="157">
        <f>B66*0.2</f>
        <v>31917.509494879996</v>
      </c>
      <c r="C67" s="80"/>
      <c r="D67" s="92"/>
    </row>
    <row r="68" spans="1:4" s="3" customFormat="1" ht="16.5" thickBot="1" x14ac:dyDescent="0.3">
      <c r="A68" s="107" t="s">
        <v>83</v>
      </c>
      <c r="B68" s="55">
        <f>B66+B67</f>
        <v>191505.05696927995</v>
      </c>
      <c r="C68" s="108"/>
      <c r="D68" s="76"/>
    </row>
    <row r="69" spans="1:4" s="3" customFormat="1" ht="16.5" thickBot="1" x14ac:dyDescent="0.3">
      <c r="A69" s="159" t="s">
        <v>84</v>
      </c>
      <c r="B69" s="158">
        <f>B10+B24+B26+B28+B29-B68</f>
        <v>-1877962.44696928</v>
      </c>
      <c r="C69" s="111"/>
      <c r="D69" s="111"/>
    </row>
    <row r="70" spans="1:4" s="3" customFormat="1" ht="16.5" hidden="1" thickBot="1" x14ac:dyDescent="0.3">
      <c r="A70" s="160" t="s">
        <v>85</v>
      </c>
      <c r="B70" s="158"/>
      <c r="C70" s="111"/>
      <c r="D70" s="111"/>
    </row>
    <row r="71" spans="1:4" s="3" customFormat="1" ht="16.5" hidden="1" thickBot="1" x14ac:dyDescent="0.3">
      <c r="A71" s="167" t="s">
        <v>86</v>
      </c>
      <c r="B71" s="55"/>
      <c r="C71" s="111"/>
      <c r="D71" s="111"/>
    </row>
    <row r="72" spans="1:4" s="3" customFormat="1" ht="15.75" x14ac:dyDescent="0.25">
      <c r="A72" s="115"/>
      <c r="B72" s="64"/>
      <c r="C72" s="111"/>
      <c r="D72" s="111"/>
    </row>
    <row r="73" spans="1:4" ht="15.75" x14ac:dyDescent="0.25">
      <c r="A73" s="128"/>
      <c r="B73" s="65"/>
      <c r="C73" s="65"/>
      <c r="D73" s="65"/>
    </row>
    <row r="74" spans="1:4" ht="15.75" x14ac:dyDescent="0.25">
      <c r="A74" s="193" t="s">
        <v>414</v>
      </c>
      <c r="B74" s="193"/>
      <c r="C74" s="65"/>
      <c r="D74" s="65"/>
    </row>
    <row r="75" spans="1:4" ht="15.75" x14ac:dyDescent="0.25">
      <c r="A75" s="128"/>
      <c r="B75" s="161"/>
      <c r="C75" s="65"/>
      <c r="D75" s="65"/>
    </row>
    <row r="76" spans="1:4" ht="15.75" x14ac:dyDescent="0.25">
      <c r="A76" s="209"/>
      <c r="B76" s="209"/>
      <c r="C76" s="161"/>
      <c r="D76" s="65"/>
    </row>
    <row r="77" spans="1:4" ht="15.75" x14ac:dyDescent="0.25">
      <c r="A77" s="65"/>
      <c r="B77" s="65"/>
      <c r="C77" s="65"/>
      <c r="D77" s="65"/>
    </row>
    <row r="78" spans="1:4" ht="15.75" x14ac:dyDescent="0.25">
      <c r="A78" s="129"/>
      <c r="B78" s="129"/>
      <c r="C78" s="65"/>
      <c r="D78" s="65"/>
    </row>
    <row r="79" spans="1:4" ht="15.75" x14ac:dyDescent="0.25">
      <c r="A79" s="65"/>
      <c r="B79" s="65"/>
      <c r="C79" s="65"/>
      <c r="D79" s="65"/>
    </row>
    <row r="80" spans="1:4" ht="15.75" x14ac:dyDescent="0.25">
      <c r="A80" s="65"/>
      <c r="B80" s="65"/>
      <c r="C80" s="65"/>
      <c r="D80" s="65"/>
    </row>
    <row r="81" spans="1:1" ht="15.75" x14ac:dyDescent="0.25">
      <c r="A81" s="65"/>
    </row>
    <row r="82" spans="1:1" ht="15.75" x14ac:dyDescent="0.25">
      <c r="A82" s="65"/>
    </row>
    <row r="83" spans="1:1" ht="15.75" x14ac:dyDescent="0.25">
      <c r="A83" s="65"/>
    </row>
    <row r="89" spans="1:1" ht="15.75" hidden="1" x14ac:dyDescent="0.25">
      <c r="A89" s="65"/>
    </row>
    <row r="90" spans="1:1" ht="15.75" x14ac:dyDescent="0.25">
      <c r="A90" s="65"/>
    </row>
  </sheetData>
  <autoFilter ref="A32:B71" xr:uid="{00000000-0009-0000-0000-000025000000}">
    <filterColumn colId="1">
      <filters>
        <filter val="1 213,75"/>
        <filter val="1 616,24"/>
        <filter val="-1 877 962,45"/>
        <filter val="1 960,82"/>
        <filter val="10 300,00"/>
        <filter val="10 613,28"/>
        <filter val="14 087,43"/>
        <filter val="154 939,37"/>
        <filter val="159 587,55"/>
        <filter val="191 505,06"/>
        <filter val="29 130,13"/>
        <filter val="3 577,06"/>
        <filter val="3 780,63"/>
        <filter val="31 917,51"/>
        <filter val="313,28"/>
        <filter val="37 956,00"/>
        <filter val="4 059,09"/>
        <filter val="4 648,18"/>
        <filter val="4 906,50"/>
        <filter val="45 000,00"/>
        <filter val="6 120,25"/>
        <filter val="60 498,65"/>
        <filter val="615,50"/>
      </filters>
    </filterColumn>
  </autoFilter>
  <mergeCells count="9">
    <mergeCell ref="D8:D9"/>
    <mergeCell ref="A74:B74"/>
    <mergeCell ref="A76:B76"/>
    <mergeCell ref="A1:B1"/>
    <mergeCell ref="A2:B2"/>
    <mergeCell ref="A3:B3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9" tint="0.39997558519241921"/>
    <pageSetUpPr fitToPage="1"/>
  </sheetPr>
  <dimension ref="A1:G95"/>
  <sheetViews>
    <sheetView tabSelected="1" view="pageBreakPreview" zoomScale="70" zoomScaleNormal="100" zoomScaleSheetLayoutView="70" workbookViewId="0">
      <selection activeCell="A25" sqref="A1:G94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3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-436954.46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714.3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161.6</v>
      </c>
      <c r="C14" s="19"/>
      <c r="D14" s="18"/>
    </row>
    <row r="15" spans="1:4" ht="15.75" x14ac:dyDescent="0.25">
      <c r="A15" s="16" t="s">
        <v>14</v>
      </c>
      <c r="B15" s="17">
        <f>B13+B14</f>
        <v>875.9</v>
      </c>
      <c r="C15" s="20"/>
      <c r="D15" s="21"/>
    </row>
    <row r="16" spans="1:4" ht="16.5" thickBot="1" x14ac:dyDescent="0.3">
      <c r="A16" s="16" t="s">
        <v>15</v>
      </c>
      <c r="B16" s="17">
        <f>784.2+429.3/3</f>
        <v>927.30000000000007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164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865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40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v>184832.2</v>
      </c>
      <c r="C24" s="18"/>
      <c r="D24" s="21"/>
      <c r="E24" s="1">
        <v>19.029999954000001</v>
      </c>
      <c r="F24" s="1">
        <v>21.302181948507599</v>
      </c>
      <c r="G24" s="1"/>
    </row>
    <row r="25" spans="1:7" ht="16.5" thickBot="1" x14ac:dyDescent="0.3">
      <c r="A25" s="23">
        <v>0</v>
      </c>
      <c r="B25" s="24">
        <v>187859.99</v>
      </c>
      <c r="C25" s="22"/>
      <c r="D25" s="21"/>
      <c r="E25" s="1"/>
      <c r="F25" s="1"/>
      <c r="G25" s="1"/>
    </row>
    <row r="26" spans="1:7" ht="15.75" x14ac:dyDescent="0.25">
      <c r="A26" s="23" t="s">
        <v>23</v>
      </c>
      <c r="B26" s="24">
        <v>41560.29</v>
      </c>
      <c r="C26" s="15"/>
      <c r="D26" s="18"/>
      <c r="E26" s="1"/>
      <c r="F26" s="1"/>
      <c r="G26" s="1"/>
    </row>
    <row r="27" spans="1:7" ht="16.5" thickBot="1" x14ac:dyDescent="0.3">
      <c r="A27" s="23" t="s">
        <v>24</v>
      </c>
      <c r="B27" s="24">
        <v>42549.279999999999</v>
      </c>
      <c r="C27" s="19"/>
      <c r="D27" s="18"/>
      <c r="E27" s="1"/>
      <c r="F27" s="1"/>
      <c r="G27" s="1"/>
    </row>
    <row r="28" spans="1:7" ht="16.5" hidden="1" thickBot="1" x14ac:dyDescent="0.3">
      <c r="A28" s="23" t="s">
        <v>25</v>
      </c>
      <c r="B28" s="24"/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84229.816271839998</v>
      </c>
      <c r="C32" s="18"/>
      <c r="D32" s="21"/>
      <c r="E32" s="30">
        <f>(B86-B26-B24)/1.2/1.03</f>
        <v>22714.754811819137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f>14243*1.1194*1.0952</f>
        <v>17461.446271839999</v>
      </c>
      <c r="C33" s="22"/>
      <c r="D33" s="21">
        <v>18893.68</v>
      </c>
      <c r="E33" s="1"/>
      <c r="F33" s="1"/>
      <c r="G33" s="1"/>
    </row>
    <row r="34" spans="1:7" ht="15.75" x14ac:dyDescent="0.25">
      <c r="A34" s="32" t="s">
        <v>30</v>
      </c>
      <c r="B34" s="17">
        <v>50373.78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hidden="1" x14ac:dyDescent="0.25">
      <c r="A36" s="32" t="s">
        <v>32</v>
      </c>
      <c r="B36" s="17">
        <v>0</v>
      </c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5.75" hidden="1" x14ac:dyDescent="0.25">
      <c r="A38" s="32" t="s">
        <v>34</v>
      </c>
      <c r="B38" s="17">
        <v>0</v>
      </c>
      <c r="C38" s="21"/>
      <c r="D38" s="18">
        <v>0</v>
      </c>
      <c r="E38" s="1"/>
      <c r="F38" s="1"/>
      <c r="G38" s="1"/>
    </row>
    <row r="39" spans="1:7" ht="31.5" hidden="1" x14ac:dyDescent="0.25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thickBot="1" x14ac:dyDescent="0.3">
      <c r="A40" s="33" t="s">
        <v>36</v>
      </c>
      <c r="B40" s="17">
        <v>16394.59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32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5969.7438999311053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hidden="1" x14ac:dyDescent="0.25">
      <c r="A44" s="32" t="s">
        <v>39</v>
      </c>
      <c r="B44" s="17"/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('[1]34тарифы'!D163*B15+222.36)*1.1194*1.0952</f>
        <v>5969.7438999311053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6174.0268853056004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1356.12*1.1194*1.0952</f>
        <v>1662.5582053055996</v>
      </c>
      <c r="C48" s="21"/>
      <c r="D48" s="18"/>
      <c r="E48" s="1" t="s">
        <v>45</v>
      </c>
      <c r="F48" s="1"/>
      <c r="G48" s="1"/>
    </row>
    <row r="49" spans="1:5" ht="16.5" thickBot="1" x14ac:dyDescent="0.3">
      <c r="A49" s="36" t="s">
        <v>46</v>
      </c>
      <c r="B49" s="17">
        <f>347.15*1.0952</f>
        <v>380.19867999999997</v>
      </c>
      <c r="C49" s="21"/>
      <c r="D49" s="18"/>
      <c r="E49" s="1"/>
    </row>
    <row r="50" spans="1:5" ht="16.5" hidden="1" thickBot="1" x14ac:dyDescent="0.3">
      <c r="A50" s="36" t="s">
        <v>47</v>
      </c>
      <c r="B50" s="17">
        <v>0</v>
      </c>
      <c r="C50" s="21"/>
      <c r="D50" s="18">
        <v>4190</v>
      </c>
      <c r="E50" s="1"/>
    </row>
    <row r="51" spans="1:5" ht="16.5" hidden="1" thickBot="1" x14ac:dyDescent="0.3">
      <c r="A51" s="36" t="s">
        <v>48</v>
      </c>
      <c r="B51" s="17">
        <v>0</v>
      </c>
      <c r="C51" s="21"/>
      <c r="D51" s="18"/>
      <c r="E51" s="1"/>
    </row>
    <row r="52" spans="1:5" ht="16.5" hidden="1" thickBot="1" x14ac:dyDescent="0.3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59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thickBot="1" x14ac:dyDescent="0.3">
      <c r="A64" s="32" t="s">
        <v>61</v>
      </c>
      <c r="B64" s="38">
        <v>4131.2700000000004</v>
      </c>
      <c r="C64" s="40">
        <v>13</v>
      </c>
      <c r="D64" s="21">
        <v>1</v>
      </c>
      <c r="E64" s="1">
        <v>1</v>
      </c>
    </row>
    <row r="65" spans="1:4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68851.568526921546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33142.2*1.1194*1.0952</f>
        <v>40631.239530335995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4467.0899999999992</v>
      </c>
      <c r="C71" s="43"/>
      <c r="D71" s="19"/>
    </row>
    <row r="72" spans="1:4" ht="15.75" x14ac:dyDescent="0.25">
      <c r="A72" s="35" t="s">
        <v>69</v>
      </c>
      <c r="B72" s="17">
        <f>17.7*B15</f>
        <v>15503.429999999998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977.49342857473357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7272.3155680108175</v>
      </c>
      <c r="C74" s="34"/>
      <c r="D74" s="19"/>
    </row>
    <row r="75" spans="1:4" ht="63" x14ac:dyDescent="0.25">
      <c r="A75" s="45" t="s">
        <v>72</v>
      </c>
      <c r="B75" s="29">
        <f>SUM(B76:B76)</f>
        <v>26609.29198656512</v>
      </c>
      <c r="C75" s="34"/>
      <c r="D75" s="19"/>
    </row>
    <row r="76" spans="1:4" ht="15.75" x14ac:dyDescent="0.25">
      <c r="A76" s="35" t="s">
        <v>73</v>
      </c>
      <c r="B76" s="17">
        <f>'[1]34ОЭР'!D235*1.1194*1.0952</f>
        <v>26609.29198656512</v>
      </c>
      <c r="C76" s="34"/>
      <c r="D76" s="19"/>
    </row>
    <row r="77" spans="1:4" s="4" customFormat="1" ht="31.5" x14ac:dyDescent="0.25">
      <c r="A77" s="42" t="s">
        <v>74</v>
      </c>
      <c r="B77" s="29">
        <f>SUM(B78:B81)</f>
        <v>14045.75222507457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thickBot="1" x14ac:dyDescent="0.3">
      <c r="A79" s="47" t="s">
        <v>76</v>
      </c>
      <c r="B79" s="17">
        <f>(B26/1.2)*30%</f>
        <v>10390.0725</v>
      </c>
      <c r="C79" s="25"/>
      <c r="D79" s="34"/>
    </row>
    <row r="80" spans="1:4" ht="15.75" x14ac:dyDescent="0.25">
      <c r="A80" s="48" t="s">
        <v>77</v>
      </c>
      <c r="B80" s="17">
        <v>1960.8</v>
      </c>
      <c r="C80" s="43"/>
      <c r="D80" s="19"/>
    </row>
    <row r="81" spans="1:4" ht="15.75" x14ac:dyDescent="0.25">
      <c r="A81" s="48" t="s">
        <v>78</v>
      </c>
      <c r="B81" s="17">
        <f>'[1]34тарифы'!D173*B13*1.1194*1.08</f>
        <v>1694.8797250745697</v>
      </c>
      <c r="C81" s="34"/>
      <c r="D81" s="19"/>
    </row>
    <row r="82" spans="1:4" ht="15.75" x14ac:dyDescent="0.25">
      <c r="A82" s="49" t="s">
        <v>79</v>
      </c>
      <c r="B82" s="24">
        <f>B32+B42+B46+B66+B75+B77</f>
        <v>205880.19979563792</v>
      </c>
      <c r="C82" s="34"/>
      <c r="D82" s="19"/>
    </row>
    <row r="83" spans="1:4" ht="15.75" x14ac:dyDescent="0.25">
      <c r="A83" s="50" t="s">
        <v>80</v>
      </c>
      <c r="B83" s="17">
        <f>B82*0.03</f>
        <v>6176.4059938691371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212056.60578950707</v>
      </c>
      <c r="C84" s="34"/>
      <c r="D84" s="19"/>
    </row>
    <row r="85" spans="1:4" ht="16.5" thickBot="1" x14ac:dyDescent="0.3">
      <c r="A85" s="52" t="s">
        <v>82</v>
      </c>
      <c r="B85" s="53">
        <f>B84*0.2</f>
        <v>42411.321157901417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254467.92694740847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-465029.89694740844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98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03000000}">
    <filterColumn colId="1">
      <filters>
        <filter val="1 662,56"/>
        <filter val="1 694,88"/>
        <filter val="1 960,80"/>
        <filter val="10 390,07"/>
        <filter val="14 045,75"/>
        <filter val="15 503,43"/>
        <filter val="16 394,59"/>
        <filter val="17 461,45"/>
        <filter val="205 880,20"/>
        <filter val="212 056,61"/>
        <filter val="254 467,93"/>
        <filter val="26 609,29"/>
        <filter val="380,20"/>
        <filter val="4 131,27"/>
        <filter val="4 467,09"/>
        <filter val="40 631,24"/>
        <filter val="42 411,32"/>
        <filter val="-465 029,90"/>
        <filter val="5 969,74"/>
        <filter val="50 373,78"/>
        <filter val="6 174,03"/>
        <filter val="6 176,41"/>
        <filter val="68 851,57"/>
        <filter val="7 272,32"/>
        <filter val="84 229,82"/>
        <filter val="977,49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G94"/>
  <sheetViews>
    <sheetView view="pageBreakPreview" topLeftCell="A25" zoomScale="80" zoomScaleNormal="100" zoomScaleSheetLayoutView="80" workbookViewId="0">
      <selection activeCell="B37" sqref="B37"/>
    </sheetView>
  </sheetViews>
  <sheetFormatPr defaultRowHeight="15.75" x14ac:dyDescent="0.25"/>
  <cols>
    <col min="1" max="1" width="89.5703125" style="1" customWidth="1"/>
    <col min="2" max="2" width="15" style="65" customWidth="1"/>
    <col min="3" max="4" width="13.85546875" style="1" customWidth="1"/>
    <col min="5" max="5" width="14.140625" style="1" customWidth="1"/>
    <col min="6" max="6" width="11.140625" style="1" customWidth="1"/>
    <col min="7" max="7" width="12.42578125" style="1" bestFit="1" customWidth="1"/>
    <col min="8" max="16384" width="9.140625" style="1"/>
  </cols>
  <sheetData>
    <row r="1" spans="1:4" ht="16.5" customHeight="1" x14ac:dyDescent="0.25">
      <c r="A1" s="195" t="s">
        <v>0</v>
      </c>
      <c r="B1" s="195"/>
    </row>
    <row r="2" spans="1:4" ht="16.5" x14ac:dyDescent="0.25">
      <c r="A2" s="197" t="s">
        <v>1</v>
      </c>
      <c r="B2" s="197"/>
    </row>
    <row r="3" spans="1:4" ht="16.5" x14ac:dyDescent="0.25">
      <c r="A3" s="197" t="s">
        <v>2</v>
      </c>
      <c r="B3" s="197"/>
    </row>
    <row r="4" spans="1:4" x14ac:dyDescent="0.25">
      <c r="A4" s="2" t="s">
        <v>97</v>
      </c>
      <c r="B4" s="2"/>
    </row>
    <row r="5" spans="1:4" x14ac:dyDescent="0.25">
      <c r="A5" s="2" t="s">
        <v>184</v>
      </c>
      <c r="B5" s="2"/>
    </row>
    <row r="6" spans="1:4" ht="5.25" customHeight="1" x14ac:dyDescent="0.25">
      <c r="A6" s="2"/>
      <c r="B6" s="3"/>
      <c r="C6" s="4"/>
    </row>
    <row r="7" spans="1:4" ht="16.5" thickBot="1" x14ac:dyDescent="0.3">
      <c r="A7" s="5"/>
      <c r="B7" s="3"/>
      <c r="C7" s="4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-21459.589931140974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1852.6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1852.6</v>
      </c>
      <c r="C15" s="20"/>
      <c r="D15" s="21"/>
    </row>
    <row r="16" spans="1:4" ht="16.5" hidden="1" thickBot="1" x14ac:dyDescent="0.3">
      <c r="A16" s="16" t="s">
        <v>15</v>
      </c>
      <c r="B16" s="17">
        <f>1044.4+1234.5/3</f>
        <v>1455.9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</row>
    <row r="18" spans="1:7" ht="16.5" hidden="1" thickBot="1" x14ac:dyDescent="0.3">
      <c r="A18" s="16" t="s">
        <v>17</v>
      </c>
      <c r="B18" s="17">
        <v>907.3</v>
      </c>
      <c r="C18" s="21" t="s">
        <v>11</v>
      </c>
      <c r="D18" s="18" t="s">
        <v>11</v>
      </c>
    </row>
    <row r="19" spans="1:7" ht="16.5" hidden="1" thickBot="1" x14ac:dyDescent="0.3">
      <c r="A19" s="16" t="s">
        <v>18</v>
      </c>
      <c r="B19" s="17">
        <v>849</v>
      </c>
      <c r="C19" s="21" t="s">
        <v>11</v>
      </c>
      <c r="D19" s="18" t="s">
        <v>11</v>
      </c>
    </row>
    <row r="20" spans="1:7" ht="16.5" hidden="1" thickBot="1" x14ac:dyDescent="0.3">
      <c r="A20" s="16" t="s">
        <v>19</v>
      </c>
      <c r="B20" s="17">
        <v>1106</v>
      </c>
      <c r="C20" s="21"/>
      <c r="D20" s="18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</row>
    <row r="22" spans="1:7" ht="16.5" hidden="1" thickBot="1" x14ac:dyDescent="0.3">
      <c r="A22" s="16" t="s">
        <v>21</v>
      </c>
      <c r="B22" s="17">
        <v>61</v>
      </c>
      <c r="C22" s="19"/>
      <c r="D22" s="18"/>
    </row>
    <row r="23" spans="1:7" x14ac:dyDescent="0.25">
      <c r="A23" s="16"/>
      <c r="B23" s="17"/>
      <c r="C23" s="20"/>
      <c r="D23" s="21"/>
    </row>
    <row r="24" spans="1:7" x14ac:dyDescent="0.25">
      <c r="A24" s="23" t="s">
        <v>22</v>
      </c>
      <c r="B24" s="24">
        <f>VLOOKUP(A5,Лист11!K:M,2,FALSE)</f>
        <v>356468.01</v>
      </c>
      <c r="C24" s="18"/>
      <c r="D24" s="21"/>
    </row>
    <row r="25" spans="1:7" ht="16.5" thickBot="1" x14ac:dyDescent="0.3">
      <c r="A25" s="23">
        <v>0</v>
      </c>
      <c r="B25" s="24">
        <f>VLOOKUP(A5,Лист11!K:M,3,FALSE)</f>
        <v>334662.58</v>
      </c>
      <c r="C25" s="22"/>
      <c r="D25" s="21"/>
    </row>
    <row r="26" spans="1:7" ht="16.5" hidden="1" thickBot="1" x14ac:dyDescent="0.3">
      <c r="A26" s="23" t="s">
        <v>90</v>
      </c>
      <c r="B26" s="24">
        <v>0</v>
      </c>
      <c r="C26" s="15"/>
      <c r="D26" s="18"/>
      <c r="G26" s="1">
        <f>B24/B13/12</f>
        <v>16.034582478678615</v>
      </c>
    </row>
    <row r="27" spans="1:7" ht="16.5" hidden="1" thickBot="1" x14ac:dyDescent="0.3">
      <c r="A27" s="23" t="s">
        <v>91</v>
      </c>
      <c r="B27" s="24">
        <v>0</v>
      </c>
      <c r="C27" s="19"/>
      <c r="D27" s="18"/>
    </row>
    <row r="28" spans="1:7" ht="16.5" thickBot="1" x14ac:dyDescent="0.3">
      <c r="A28" s="23" t="s">
        <v>25</v>
      </c>
      <c r="B28" s="24">
        <v>5781.36</v>
      </c>
      <c r="C28" s="14"/>
      <c r="D28" s="21"/>
    </row>
    <row r="29" spans="1:7" ht="16.5" hidden="1" thickBot="1" x14ac:dyDescent="0.3">
      <c r="A29" s="23" t="s">
        <v>26</v>
      </c>
      <c r="B29" s="24"/>
      <c r="C29" s="25"/>
      <c r="D29" s="18"/>
    </row>
    <row r="30" spans="1:7" x14ac:dyDescent="0.25">
      <c r="A30" s="26"/>
      <c r="B30" s="17"/>
      <c r="C30" s="20"/>
      <c r="D30" s="21"/>
    </row>
    <row r="31" spans="1:7" x14ac:dyDescent="0.25">
      <c r="A31" s="27" t="s">
        <v>27</v>
      </c>
      <c r="B31" s="17"/>
      <c r="C31" s="18"/>
      <c r="D31" s="21"/>
    </row>
    <row r="32" spans="1:7" s="31" customFormat="1" ht="31.5" x14ac:dyDescent="0.25">
      <c r="A32" s="28" t="s">
        <v>28</v>
      </c>
      <c r="B32" s="29">
        <f>SUM(B33:B41)</f>
        <v>68761.33</v>
      </c>
      <c r="C32" s="18"/>
      <c r="D32" s="21"/>
      <c r="E32" s="30">
        <f>(B86-B26-B24)/1.2/1.03</f>
        <v>31685.40320047571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31000</v>
      </c>
      <c r="C33" s="22"/>
      <c r="D33" s="21">
        <v>16085.98</v>
      </c>
    </row>
    <row r="34" spans="1:7" hidden="1" x14ac:dyDescent="0.25">
      <c r="A34" s="32" t="s">
        <v>100</v>
      </c>
      <c r="B34" s="17">
        <v>0</v>
      </c>
      <c r="C34" s="15"/>
      <c r="D34" s="18">
        <v>0</v>
      </c>
    </row>
    <row r="35" spans="1:7" x14ac:dyDescent="0.25">
      <c r="A35" s="32" t="s">
        <v>31</v>
      </c>
      <c r="B35" s="17">
        <v>22706.81</v>
      </c>
      <c r="C35" s="21"/>
      <c r="D35" s="18">
        <v>0</v>
      </c>
    </row>
    <row r="36" spans="1:7" hidden="1" x14ac:dyDescent="0.25">
      <c r="A36" s="32" t="s">
        <v>32</v>
      </c>
      <c r="B36" s="17">
        <v>0</v>
      </c>
      <c r="C36" s="21" t="s">
        <v>11</v>
      </c>
      <c r="D36" s="18">
        <v>0</v>
      </c>
    </row>
    <row r="37" spans="1:7" x14ac:dyDescent="0.25">
      <c r="A37" s="32" t="s">
        <v>33</v>
      </c>
      <c r="B37" s="17">
        <v>1401.68</v>
      </c>
      <c r="C37" s="21"/>
      <c r="D37" s="18">
        <v>0</v>
      </c>
    </row>
    <row r="38" spans="1:7" ht="16.5" thickBot="1" x14ac:dyDescent="0.3">
      <c r="A38" s="32" t="s">
        <v>30</v>
      </c>
      <c r="B38" s="17">
        <v>13652.84</v>
      </c>
      <c r="C38" s="21"/>
      <c r="D38" s="18">
        <v>0</v>
      </c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</row>
    <row r="40" spans="1:7" ht="16.5" hidden="1" thickBot="1" x14ac:dyDescent="0.3">
      <c r="A40" s="32" t="s">
        <v>92</v>
      </c>
      <c r="B40" s="17">
        <v>0</v>
      </c>
      <c r="C40" s="21"/>
      <c r="D40" s="18"/>
    </row>
    <row r="41" spans="1:7" ht="16.5" hidden="1" thickBot="1" x14ac:dyDescent="0.3">
      <c r="A41" s="32" t="s">
        <v>33</v>
      </c>
      <c r="B41" s="17"/>
      <c r="C41" s="19"/>
      <c r="D41" s="18"/>
    </row>
    <row r="42" spans="1:7" s="31" customFormat="1" ht="48" thickBot="1" x14ac:dyDescent="0.3">
      <c r="A42" s="28" t="s">
        <v>37</v>
      </c>
      <c r="B42" s="29">
        <f>SUM(B43:B45)</f>
        <v>26997.925380969067</v>
      </c>
      <c r="C42" s="14"/>
      <c r="D42" s="21"/>
      <c r="E42" s="30"/>
      <c r="F42" s="30"/>
      <c r="G42" s="30"/>
    </row>
    <row r="43" spans="1:7" hidden="1" x14ac:dyDescent="0.25">
      <c r="A43" s="32" t="s">
        <v>38</v>
      </c>
      <c r="B43" s="17">
        <v>0</v>
      </c>
      <c r="C43" s="25"/>
      <c r="D43" s="34"/>
    </row>
    <row r="44" spans="1:7" x14ac:dyDescent="0.25">
      <c r="A44" s="32" t="s">
        <v>39</v>
      </c>
      <c r="B44" s="17">
        <v>15703.23</v>
      </c>
      <c r="C44" s="19"/>
      <c r="D44" s="34"/>
    </row>
    <row r="45" spans="1:7" ht="16.5" thickBot="1" x14ac:dyDescent="0.3">
      <c r="A45" s="35" t="s">
        <v>40</v>
      </c>
      <c r="B45" s="17">
        <f>('[1]34тарифы'!D163*B15+261.05)*1.1194</f>
        <v>11294.695380969068</v>
      </c>
      <c r="C45" s="19"/>
      <c r="D45" s="34"/>
    </row>
    <row r="46" spans="1:7" s="4" customFormat="1" ht="16.5" thickBot="1" x14ac:dyDescent="0.3">
      <c r="A46" s="28" t="s">
        <v>41</v>
      </c>
      <c r="B46" s="29">
        <f>SUM(B47:B65)</f>
        <v>24736.469524198397</v>
      </c>
      <c r="C46" s="14"/>
      <c r="D46" s="21"/>
    </row>
    <row r="47" spans="1:7" hidden="1" x14ac:dyDescent="0.25">
      <c r="A47" s="32" t="s">
        <v>42</v>
      </c>
      <c r="B47" s="17">
        <v>0</v>
      </c>
      <c r="C47" s="15"/>
      <c r="D47" s="18"/>
      <c r="E47" s="1" t="s">
        <v>43</v>
      </c>
    </row>
    <row r="48" spans="1:7" x14ac:dyDescent="0.25">
      <c r="A48" s="32" t="s">
        <v>44</v>
      </c>
      <c r="B48" s="17">
        <f>5418.24*1.1194*1.0952</f>
        <v>6642.5827878911987</v>
      </c>
      <c r="C48" s="21"/>
      <c r="D48" s="18"/>
      <c r="E48" s="1" t="s">
        <v>45</v>
      </c>
    </row>
    <row r="49" spans="1:5" x14ac:dyDescent="0.25">
      <c r="A49" s="36" t="s">
        <v>46</v>
      </c>
      <c r="B49" s="117">
        <v>68.53</v>
      </c>
      <c r="C49" s="21"/>
      <c r="D49" s="18"/>
    </row>
    <row r="50" spans="1:5" hidden="1" x14ac:dyDescent="0.25">
      <c r="A50" s="36" t="s">
        <v>47</v>
      </c>
      <c r="B50" s="17">
        <v>0</v>
      </c>
      <c r="C50" s="21"/>
      <c r="D50" s="18">
        <v>4190</v>
      </c>
    </row>
    <row r="51" spans="1:5" hidden="1" x14ac:dyDescent="0.25">
      <c r="A51" s="36" t="s">
        <v>93</v>
      </c>
      <c r="B51" s="17">
        <v>0</v>
      </c>
      <c r="C51" s="21"/>
      <c r="D51" s="18"/>
    </row>
    <row r="52" spans="1:5" hidden="1" x14ac:dyDescent="0.25">
      <c r="A52" s="36" t="s">
        <v>49</v>
      </c>
      <c r="B52" s="17">
        <f>B21*'[1]34тарифы'!D177</f>
        <v>0</v>
      </c>
      <c r="C52" s="21"/>
      <c r="D52" s="18">
        <v>105.14</v>
      </c>
    </row>
    <row r="53" spans="1:5" hidden="1" x14ac:dyDescent="0.25">
      <c r="A53" s="36" t="s">
        <v>50</v>
      </c>
      <c r="B53" s="17">
        <v>0</v>
      </c>
      <c r="C53" s="21">
        <v>0</v>
      </c>
      <c r="D53" s="18">
        <v>522.99</v>
      </c>
    </row>
    <row r="54" spans="1:5" x14ac:dyDescent="0.25">
      <c r="A54" s="116" t="s">
        <v>133</v>
      </c>
      <c r="B54" s="17">
        <v>10300</v>
      </c>
      <c r="C54" s="21">
        <v>1</v>
      </c>
      <c r="D54" s="37">
        <v>657.53</v>
      </c>
    </row>
    <row r="55" spans="1:5" x14ac:dyDescent="0.25">
      <c r="A55" s="36" t="s">
        <v>96</v>
      </c>
      <c r="B55" s="17">
        <v>5769.3020599295996</v>
      </c>
      <c r="C55" s="21"/>
      <c r="D55" s="37"/>
    </row>
    <row r="56" spans="1:5" hidden="1" x14ac:dyDescent="0.25">
      <c r="A56" s="36" t="s">
        <v>53</v>
      </c>
      <c r="B56" s="17">
        <v>0</v>
      </c>
      <c r="C56" s="21">
        <v>0</v>
      </c>
      <c r="D56" s="18">
        <f>10695.76/1.18</f>
        <v>9064.203389830509</v>
      </c>
    </row>
    <row r="57" spans="1:5" hidden="1" x14ac:dyDescent="0.25">
      <c r="A57" s="36" t="s">
        <v>54</v>
      </c>
      <c r="B57" s="17">
        <v>0</v>
      </c>
      <c r="C57" s="21">
        <v>0</v>
      </c>
      <c r="D57" s="18">
        <f>2300/1.18</f>
        <v>1949.1525423728815</v>
      </c>
    </row>
    <row r="58" spans="1:5" ht="16.5" thickBot="1" x14ac:dyDescent="0.3">
      <c r="A58" s="36" t="s">
        <v>95</v>
      </c>
      <c r="B58" s="17">
        <v>1956.0546763775997</v>
      </c>
      <c r="C58" s="19">
        <v>0</v>
      </c>
      <c r="D58" s="18">
        <v>0</v>
      </c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</row>
    <row r="60" spans="1:5" ht="16.5" hidden="1" thickBot="1" x14ac:dyDescent="0.3">
      <c r="A60" s="32" t="s">
        <v>57</v>
      </c>
      <c r="B60" s="17">
        <v>0</v>
      </c>
      <c r="C60" s="15"/>
      <c r="D60" s="18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</row>
    <row r="64" spans="1:5" ht="16.5" hidden="1" thickBot="1" x14ac:dyDescent="0.3">
      <c r="A64" s="32" t="s">
        <v>61</v>
      </c>
      <c r="B64" s="38">
        <v>0</v>
      </c>
      <c r="C64" s="40">
        <v>24</v>
      </c>
      <c r="D64" s="21">
        <v>2</v>
      </c>
      <c r="E64" s="1">
        <v>1</v>
      </c>
    </row>
    <row r="65" spans="1:4" s="4" customFormat="1" ht="16.5" hidden="1" thickBot="1" x14ac:dyDescent="0.3">
      <c r="A65" s="32" t="s">
        <v>134</v>
      </c>
      <c r="B65" s="38"/>
      <c r="C65" s="41">
        <v>24</v>
      </c>
      <c r="D65" s="34">
        <f>650/1.18</f>
        <v>550.84745762711873</v>
      </c>
    </row>
    <row r="66" spans="1:4" s="4" customFormat="1" ht="16.5" thickBot="1" x14ac:dyDescent="0.3">
      <c r="A66" s="42" t="s">
        <v>63</v>
      </c>
      <c r="B66" s="29">
        <f>SUM(B67:B74)</f>
        <v>123244.62926193631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51841.8*1.1194*1.0952</f>
        <v>63556.329799583997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x14ac:dyDescent="0.25">
      <c r="A71" s="35" t="s">
        <v>68</v>
      </c>
      <c r="B71" s="17">
        <f>5.1*B15</f>
        <v>9448.2599999999984</v>
      </c>
      <c r="C71" s="43"/>
      <c r="D71" s="19"/>
    </row>
    <row r="72" spans="1:4" x14ac:dyDescent="0.25">
      <c r="A72" s="35" t="s">
        <v>69</v>
      </c>
      <c r="B72" s="17">
        <f>17.7*B15</f>
        <v>32791.019999999997</v>
      </c>
      <c r="C72" s="34"/>
      <c r="D72" s="19"/>
    </row>
    <row r="73" spans="1:4" x14ac:dyDescent="0.25">
      <c r="A73" s="44" t="s">
        <v>70</v>
      </c>
      <c r="B73" s="17">
        <f>'[1]34тарифы'!D186*B15*1.1194*1.0952</f>
        <v>2067.4783945399604</v>
      </c>
      <c r="C73" s="34"/>
      <c r="D73" s="19"/>
    </row>
    <row r="74" spans="1:4" x14ac:dyDescent="0.25">
      <c r="A74" s="35" t="s">
        <v>71</v>
      </c>
      <c r="B74" s="17">
        <f>(('[1]34тарифы'!D167*B15)+('[1]34тарифы'!D187*B15))*1.1194*1.0952</f>
        <v>15381.541067812354</v>
      </c>
      <c r="C74" s="34"/>
      <c r="D74" s="19"/>
    </row>
    <row r="75" spans="1:4" ht="63" x14ac:dyDescent="0.25">
      <c r="A75" s="45" t="s">
        <v>72</v>
      </c>
      <c r="B75" s="29">
        <f>SUM(B76:B76)</f>
        <v>69013.543797158825</v>
      </c>
      <c r="C75" s="34"/>
      <c r="D75" s="19"/>
    </row>
    <row r="76" spans="1:4" x14ac:dyDescent="0.25">
      <c r="A76" s="35" t="s">
        <v>73</v>
      </c>
      <c r="B76" s="17">
        <f>'[1]34ОЭР'!D56*1.1194*1.0952</f>
        <v>69013.543797158825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7336.0440711646079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x14ac:dyDescent="0.25">
      <c r="A80" s="48" t="s">
        <v>77</v>
      </c>
      <c r="B80" s="17">
        <v>3457.14</v>
      </c>
      <c r="C80" s="43"/>
      <c r="D80" s="19"/>
    </row>
    <row r="81" spans="1:4" x14ac:dyDescent="0.25">
      <c r="A81" s="48" t="s">
        <v>78</v>
      </c>
      <c r="B81" s="17">
        <f>'[1]34тарифы'!D173*B13*1.1194*0.953</f>
        <v>3878.904071164608</v>
      </c>
      <c r="C81" s="34"/>
      <c r="D81" s="19"/>
    </row>
    <row r="82" spans="1:4" x14ac:dyDescent="0.25">
      <c r="A82" s="49" t="s">
        <v>79</v>
      </c>
      <c r="B82" s="24">
        <f>B32+B42+B46+B66+B75+B77</f>
        <v>320089.9420354272</v>
      </c>
      <c r="C82" s="34"/>
      <c r="D82" s="19"/>
    </row>
    <row r="83" spans="1:4" x14ac:dyDescent="0.25">
      <c r="A83" s="50" t="s">
        <v>80</v>
      </c>
      <c r="B83" s="17">
        <f>B82*0.03</f>
        <v>9602.6982610628165</v>
      </c>
      <c r="C83" s="34"/>
      <c r="D83" s="19"/>
    </row>
    <row r="84" spans="1:4" s="31" customFormat="1" x14ac:dyDescent="0.25">
      <c r="A84" s="51" t="s">
        <v>81</v>
      </c>
      <c r="B84" s="29">
        <f>B82+B83</f>
        <v>329692.64029648999</v>
      </c>
      <c r="C84" s="34"/>
      <c r="D84" s="19"/>
    </row>
    <row r="85" spans="1:4" ht="16.5" thickBot="1" x14ac:dyDescent="0.3">
      <c r="A85" s="52" t="s">
        <v>82</v>
      </c>
      <c r="B85" s="53">
        <f>B84*0.2</f>
        <v>65938.528059297998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395631.16835578799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-54841.388286928996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x14ac:dyDescent="0.25">
      <c r="A90" s="63"/>
      <c r="B90" s="64"/>
      <c r="C90" s="59"/>
      <c r="D90" s="59"/>
    </row>
    <row r="91" spans="1:4" x14ac:dyDescent="0.25">
      <c r="A91" s="127"/>
    </row>
    <row r="92" spans="1:4" x14ac:dyDescent="0.25">
      <c r="A92" s="192" t="s">
        <v>413</v>
      </c>
      <c r="B92" s="192"/>
    </row>
    <row r="93" spans="1:4" x14ac:dyDescent="0.25">
      <c r="A93" s="127"/>
    </row>
    <row r="94" spans="1:4" hidden="1" x14ac:dyDescent="0.25">
      <c r="A94" s="194" t="s">
        <v>87</v>
      </c>
      <c r="B94" s="194"/>
      <c r="C94" s="66"/>
    </row>
  </sheetData>
  <autoFilter ref="A31:G89" xr:uid="{00000000-0009-0000-0000-000004000000}">
    <filterColumn colId="1">
      <filters>
        <filter val="1 401,68"/>
        <filter val="1 956,05"/>
        <filter val="10 300,00"/>
        <filter val="11 294,70"/>
        <filter val="123 244,63"/>
        <filter val="13 652,84"/>
        <filter val="15 381,54"/>
        <filter val="15 703,23"/>
        <filter val="2 067,48"/>
        <filter val="22 706,81"/>
        <filter val="24 736,47"/>
        <filter val="26 997,93"/>
        <filter val="3 457,14"/>
        <filter val="3 878,90"/>
        <filter val="31 000,00"/>
        <filter val="32 791,02"/>
        <filter val="320 089,94"/>
        <filter val="329 692,64"/>
        <filter val="395 631,17"/>
        <filter val="5 769,30"/>
        <filter val="-54 841,39"/>
        <filter val="6 642,58"/>
        <filter val="63 556,33"/>
        <filter val="65 938,53"/>
        <filter val="68 761,33"/>
        <filter val="68,53"/>
        <filter val="69 013,54"/>
        <filter val="7 336,04"/>
        <filter val="9 448,26"/>
        <filter val="9 602,70"/>
      </filters>
    </filterColumn>
  </autoFilter>
  <mergeCells count="9">
    <mergeCell ref="C8:C9"/>
    <mergeCell ref="D8:D9"/>
    <mergeCell ref="A8:A9"/>
    <mergeCell ref="B8:B9"/>
    <mergeCell ref="A1:B1"/>
    <mergeCell ref="A2:B2"/>
    <mergeCell ref="A3:B3"/>
    <mergeCell ref="A92:B92"/>
    <mergeCell ref="A94:B94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145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162995.04999999999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1850.6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1850.6</v>
      </c>
      <c r="C15" s="20"/>
      <c r="D15" s="21"/>
    </row>
    <row r="16" spans="1:4" ht="16.5" hidden="1" thickBot="1" x14ac:dyDescent="0.3">
      <c r="A16" s="16" t="s">
        <v>15</v>
      </c>
      <c r="B16" s="17">
        <f>964.2+1780.8/3</f>
        <v>1557.8000000000002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884.3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813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1106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86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313322.98</v>
      </c>
      <c r="C24" s="18"/>
      <c r="D24" s="21"/>
      <c r="E24" s="67">
        <v>15.0699999565</v>
      </c>
      <c r="F24" s="68">
        <v>16.8693579513061</v>
      </c>
      <c r="G24" s="1"/>
    </row>
    <row r="25" spans="1:7" ht="16.5" thickBot="1" x14ac:dyDescent="0.3">
      <c r="A25" s="23">
        <v>0</v>
      </c>
      <c r="B25" s="24">
        <f>VLOOKUP(A5,Лист11!K:M,3,FALSE)</f>
        <v>329783.55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>
        <v>0</v>
      </c>
      <c r="C26" s="15"/>
      <c r="D26" s="18"/>
      <c r="E26" s="1"/>
      <c r="F26" s="1"/>
      <c r="G26" s="1"/>
    </row>
    <row r="27" spans="1:7" ht="16.5" hidden="1" thickBot="1" x14ac:dyDescent="0.3">
      <c r="A27" s="23" t="s">
        <v>91</v>
      </c>
      <c r="B27" s="24"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5781.36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93259.469999999987</v>
      </c>
      <c r="C32" s="18"/>
      <c r="D32" s="21"/>
      <c r="E32" s="30">
        <f>(B86-B26-B24)/1.2/1.03</f>
        <v>127629.38877156959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31000</v>
      </c>
      <c r="C33" s="22"/>
      <c r="D33" s="21">
        <v>12351.48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5.75" x14ac:dyDescent="0.25">
      <c r="A36" s="32" t="s">
        <v>32</v>
      </c>
      <c r="B36" s="17">
        <v>22706.81</v>
      </c>
      <c r="C36" s="21" t="s">
        <v>11</v>
      </c>
      <c r="D36" s="18">
        <v>0</v>
      </c>
      <c r="E36" s="1"/>
      <c r="F36" s="1"/>
      <c r="G36" s="1"/>
    </row>
    <row r="37" spans="1:7" ht="15.75" x14ac:dyDescent="0.25">
      <c r="A37" s="32" t="s">
        <v>33</v>
      </c>
      <c r="B37" s="17">
        <v>15676.71</v>
      </c>
      <c r="C37" s="21"/>
      <c r="D37" s="18">
        <v>0</v>
      </c>
      <c r="E37" s="1"/>
      <c r="F37" s="1"/>
      <c r="G37" s="1"/>
    </row>
    <row r="38" spans="1:7" ht="16.5" thickBot="1" x14ac:dyDescent="0.3">
      <c r="A38" s="32" t="s">
        <v>30</v>
      </c>
      <c r="B38" s="17">
        <v>23875.95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36</v>
      </c>
      <c r="B40" s="17"/>
      <c r="C40" s="21"/>
      <c r="D40" s="18"/>
      <c r="E40" s="1"/>
      <c r="F40" s="1"/>
      <c r="G40" s="1"/>
    </row>
    <row r="41" spans="1:7" ht="16.5" hidden="1" thickBot="1" x14ac:dyDescent="0.3">
      <c r="A41" s="32" t="s">
        <v>31</v>
      </c>
      <c r="B41" s="17"/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60362.8332621558</v>
      </c>
      <c r="C42" s="14"/>
      <c r="D42" s="21"/>
      <c r="E42" s="30"/>
      <c r="F42" s="30"/>
      <c r="G42" s="30"/>
    </row>
    <row r="43" spans="1:7" ht="15.75" x14ac:dyDescent="0.25">
      <c r="A43" s="32" t="s">
        <v>38</v>
      </c>
      <c r="B43" s="17">
        <v>17790.5</v>
      </c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30460.07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('[1]34тарифы'!D163*B15+61.47)*1.1194*1.0952</f>
        <v>12112.263262155799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23990.4167883072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5282.58*1.1194</f>
        <v>5913.320052</v>
      </c>
      <c r="C48" s="21"/>
      <c r="D48" s="18"/>
      <c r="E48" s="1" t="s">
        <v>45</v>
      </c>
      <c r="F48" s="1"/>
      <c r="G48" s="1"/>
    </row>
    <row r="49" spans="1:5" ht="15.75" hidden="1" x14ac:dyDescent="0.25">
      <c r="A49" s="36" t="s">
        <v>117</v>
      </c>
      <c r="B49" s="17">
        <v>0</v>
      </c>
      <c r="C49" s="21"/>
      <c r="D49" s="18"/>
      <c r="E49" s="1"/>
    </row>
    <row r="50" spans="1:5" ht="15.75" x14ac:dyDescent="0.25">
      <c r="A50" s="36" t="s">
        <v>46</v>
      </c>
      <c r="B50" s="17">
        <v>51.74</v>
      </c>
      <c r="C50" s="21"/>
      <c r="D50" s="18">
        <v>4190</v>
      </c>
      <c r="E50" s="1"/>
    </row>
    <row r="51" spans="1:5" ht="15.75" hidden="1" x14ac:dyDescent="0.25">
      <c r="A51" s="36" t="s">
        <v>93</v>
      </c>
      <c r="B51" s="17">
        <v>0</v>
      </c>
      <c r="C51" s="21"/>
      <c r="D51" s="18"/>
      <c r="E51" s="1"/>
    </row>
    <row r="52" spans="1:5" ht="15.75" hidden="1" x14ac:dyDescent="0.25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5.75" hidden="1" x14ac:dyDescent="0.25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5.75" x14ac:dyDescent="0.25">
      <c r="A54" s="116" t="s">
        <v>133</v>
      </c>
      <c r="B54" s="17">
        <v>10300</v>
      </c>
      <c r="C54" s="21">
        <v>0</v>
      </c>
      <c r="D54" s="37">
        <v>695.13</v>
      </c>
      <c r="E54" s="1"/>
    </row>
    <row r="55" spans="1:5" ht="15.75" hidden="1" x14ac:dyDescent="0.25">
      <c r="A55" s="36" t="s">
        <v>52</v>
      </c>
      <c r="B55" s="17">
        <v>0</v>
      </c>
      <c r="C55" s="21"/>
      <c r="D55" s="37"/>
      <c r="E55" s="1"/>
    </row>
    <row r="56" spans="1:5" ht="15.75" x14ac:dyDescent="0.25">
      <c r="A56" s="36" t="s">
        <v>95</v>
      </c>
      <c r="B56" s="17">
        <f>531.84*1.1194*1.0952*3</f>
        <v>1956.0546763775997</v>
      </c>
      <c r="C56" s="21">
        <v>0</v>
      </c>
      <c r="D56" s="18">
        <f>10695.76/1.18</f>
        <v>9064.203389830509</v>
      </c>
      <c r="E56" s="1"/>
    </row>
    <row r="57" spans="1:5" ht="16.5" thickBot="1" x14ac:dyDescent="0.3">
      <c r="A57" s="36" t="s">
        <v>96</v>
      </c>
      <c r="B57" s="17">
        <f>1568.64*1.1194*1.0952*3</f>
        <v>5769.3020599295996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134</v>
      </c>
      <c r="B58" s="17"/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hidden="1" thickBot="1" x14ac:dyDescent="0.3">
      <c r="A64" s="32" t="s">
        <v>61</v>
      </c>
      <c r="B64" s="38">
        <v>0</v>
      </c>
      <c r="C64" s="40">
        <v>24</v>
      </c>
      <c r="D64" s="21">
        <v>2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>
        <v>24</v>
      </c>
      <c r="D65" s="34">
        <f>650/1.18</f>
        <v>550.84745762711873</v>
      </c>
    </row>
    <row r="66" spans="1:4" s="4" customFormat="1" ht="16.5" thickBot="1" x14ac:dyDescent="0.3">
      <c r="A66" s="42" t="s">
        <v>63</v>
      </c>
      <c r="B66" s="29">
        <f>SUM(B67:B74)</f>
        <v>127434.49315949938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55311.96*1.1194*1.0952</f>
        <v>67810.631027884796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9438.06</v>
      </c>
      <c r="C71" s="43"/>
      <c r="D71" s="19"/>
    </row>
    <row r="72" spans="1:4" ht="15.75" x14ac:dyDescent="0.25">
      <c r="A72" s="35" t="s">
        <v>69</v>
      </c>
      <c r="B72" s="17">
        <f>17.7*B15</f>
        <v>32755.619999999995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2065.2464195917364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15364.935712022858</v>
      </c>
      <c r="C74" s="34"/>
      <c r="D74" s="19"/>
    </row>
    <row r="75" spans="1:4" ht="63" x14ac:dyDescent="0.25">
      <c r="A75" s="45" t="s">
        <v>72</v>
      </c>
      <c r="B75" s="29">
        <f>SUM(B76:B76)</f>
        <v>68939.039269686982</v>
      </c>
      <c r="C75" s="34"/>
      <c r="D75" s="19"/>
    </row>
    <row r="76" spans="1:4" ht="15.75" x14ac:dyDescent="0.25">
      <c r="A76" s="35" t="s">
        <v>73</v>
      </c>
      <c r="B76" s="17">
        <f>'[1]34ОЭР'!D71*1.1194*1.0952</f>
        <v>68939.039269686982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7140.6929262244412</v>
      </c>
      <c r="C77" s="34"/>
      <c r="D77" s="19"/>
    </row>
    <row r="78" spans="1:4" ht="32.25" hidden="1" thickBot="1" x14ac:dyDescent="0.3">
      <c r="A78" s="46" t="s">
        <v>75</v>
      </c>
      <c r="B78" s="17">
        <v>0</v>
      </c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3508.56</v>
      </c>
      <c r="C80" s="43"/>
      <c r="D80" s="19"/>
    </row>
    <row r="81" spans="1:4" ht="15.75" x14ac:dyDescent="0.25">
      <c r="A81" s="48" t="s">
        <v>78</v>
      </c>
      <c r="B81" s="17">
        <f>'[1]34тарифы'!D173*B13</f>
        <v>3632.1329262244408</v>
      </c>
      <c r="C81" s="34"/>
      <c r="D81" s="19"/>
    </row>
    <row r="82" spans="1:4" ht="15.75" x14ac:dyDescent="0.25">
      <c r="A82" s="49" t="s">
        <v>79</v>
      </c>
      <c r="B82" s="24">
        <f>B32+B42+B46+B66+B75+B77</f>
        <v>381126.94540587376</v>
      </c>
      <c r="C82" s="34"/>
      <c r="D82" s="19"/>
    </row>
    <row r="83" spans="1:4" ht="15.75" x14ac:dyDescent="0.25">
      <c r="A83" s="50" t="s">
        <v>80</v>
      </c>
      <c r="B83" s="17">
        <f>B82*0.03</f>
        <v>11433.808362176213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392560.75376805</v>
      </c>
      <c r="C84" s="34"/>
      <c r="D84" s="19"/>
    </row>
    <row r="85" spans="1:4" ht="16.5" thickBot="1" x14ac:dyDescent="0.3">
      <c r="A85" s="52" t="s">
        <v>82</v>
      </c>
      <c r="B85" s="53">
        <f>B84*0.2</f>
        <v>78512.150753609996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471072.90452166001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11026.48547833995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05000000}">
    <filterColumn colId="1">
      <filters>
        <filter val="1 956,05"/>
        <filter val="10 300,00"/>
        <filter val="11 026,49"/>
        <filter val="11 433,81"/>
        <filter val="12 112,26"/>
        <filter val="127 434,49"/>
        <filter val="15 364,94"/>
        <filter val="15 676,71"/>
        <filter val="17 790,50"/>
        <filter val="2 065,25"/>
        <filter val="22 706,81"/>
        <filter val="23 875,95"/>
        <filter val="23 990,42"/>
        <filter val="3 508,56"/>
        <filter val="3 632,13"/>
        <filter val="30 460,07"/>
        <filter val="31 000,00"/>
        <filter val="32 755,62"/>
        <filter val="381 126,95"/>
        <filter val="392 560,75"/>
        <filter val="471 072,90"/>
        <filter val="5 769,30"/>
        <filter val="5 913,32"/>
        <filter val="51,74"/>
        <filter val="60 362,83"/>
        <filter val="67 810,63"/>
        <filter val="68 939,04"/>
        <filter val="7 140,69"/>
        <filter val="78 512,15"/>
        <filter val="9 438,06"/>
        <filter val="93 259,4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88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152</v>
      </c>
      <c r="B5" s="2"/>
      <c r="C5" s="1"/>
      <c r="D5" s="1"/>
    </row>
    <row r="6" spans="1:4" ht="15.75" x14ac:dyDescent="0.25">
      <c r="A6" s="2"/>
      <c r="B6" s="65"/>
      <c r="C6" s="4"/>
      <c r="D6" s="1"/>
    </row>
    <row r="7" spans="1:4" ht="16.5" thickBot="1" x14ac:dyDescent="0.3">
      <c r="A7" s="5"/>
      <c r="B7" s="65"/>
      <c r="C7" s="4"/>
      <c r="D7" s="1"/>
    </row>
    <row r="8" spans="1:4" x14ac:dyDescent="0.25">
      <c r="A8" s="199" t="s">
        <v>4</v>
      </c>
      <c r="B8" s="205" t="s">
        <v>5</v>
      </c>
      <c r="C8" s="203" t="s">
        <v>6</v>
      </c>
      <c r="D8" s="190" t="s">
        <v>7</v>
      </c>
    </row>
    <row r="9" spans="1:4" ht="15.75" thickBot="1" x14ac:dyDescent="0.3">
      <c r="A9" s="200"/>
      <c r="B9" s="206"/>
      <c r="C9" s="204"/>
      <c r="D9" s="191"/>
    </row>
    <row r="10" spans="1:4" ht="16.5" thickBot="1" x14ac:dyDescent="0.3">
      <c r="A10" s="6" t="s">
        <v>8</v>
      </c>
      <c r="B10" s="181">
        <v>-214941.83744341118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1213.9000000000001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476.1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1690</v>
      </c>
      <c r="C15" s="20"/>
      <c r="D15" s="21"/>
    </row>
    <row r="16" spans="1:4" ht="16.5" hidden="1" thickBot="1" x14ac:dyDescent="0.3">
      <c r="A16" s="16" t="s">
        <v>15</v>
      </c>
      <c r="B16" s="17">
        <f>946.9+476.1/3</f>
        <v>1105.5999999999999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846.3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1100.2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54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153</v>
      </c>
      <c r="B24" s="24">
        <f>VLOOKUP(A5,Лист11!K:M,2,FALSE)</f>
        <v>255655.26</v>
      </c>
      <c r="C24" s="18"/>
      <c r="D24" s="21"/>
      <c r="E24" s="67">
        <v>15.5000000635</v>
      </c>
      <c r="F24" s="68">
        <v>17.350700071081899</v>
      </c>
      <c r="G24" s="1"/>
    </row>
    <row r="25" spans="1:7" ht="16.5" thickBot="1" x14ac:dyDescent="0.3">
      <c r="A25" s="23" t="s">
        <v>154</v>
      </c>
      <c r="B25" s="24">
        <f>VLOOKUP(A5,Лист11!K:M,3,FALSE)</f>
        <v>227553.15</v>
      </c>
      <c r="C25" s="22"/>
      <c r="D25" s="21"/>
      <c r="E25" s="1"/>
      <c r="F25" s="1"/>
      <c r="G25" s="1"/>
    </row>
    <row r="26" spans="1:7" ht="15.75" x14ac:dyDescent="0.25">
      <c r="A26" s="23" t="s">
        <v>90</v>
      </c>
      <c r="B26" s="24">
        <f>2713.99+107447.42</f>
        <v>110161.41</v>
      </c>
      <c r="C26" s="15"/>
      <c r="D26" s="18"/>
      <c r="E26" s="1"/>
      <c r="F26" s="1"/>
      <c r="G26" s="1"/>
    </row>
    <row r="27" spans="1:7" ht="16.5" thickBot="1" x14ac:dyDescent="0.3">
      <c r="A27" s="23" t="s">
        <v>91</v>
      </c>
      <c r="B27" s="24">
        <f>2713.99+105920.3</f>
        <v>108634.29000000001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5781.36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4">
        <f>SUM(B33:B41)</f>
        <v>54511.380000000005</v>
      </c>
      <c r="C32" s="18"/>
      <c r="D32" s="21"/>
      <c r="E32" s="30">
        <f>(B86-B26-B24)/1.2/1.03</f>
        <v>34075.278037208758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36432.58</v>
      </c>
      <c r="C33" s="22"/>
      <c r="D33" s="21">
        <v>14384.24</v>
      </c>
      <c r="E33" s="1"/>
      <c r="F33" s="1"/>
      <c r="G33" s="1"/>
    </row>
    <row r="34" spans="1:7" ht="15.75" hidden="1" x14ac:dyDescent="0.25">
      <c r="A34" s="32" t="s">
        <v>100</v>
      </c>
      <c r="B34" s="17"/>
      <c r="C34" s="15"/>
      <c r="D34" s="18">
        <v>0</v>
      </c>
      <c r="E34" s="1"/>
      <c r="F34" s="1"/>
      <c r="G34" s="1"/>
    </row>
    <row r="35" spans="1:7" ht="15.75" hidden="1" x14ac:dyDescent="0.25">
      <c r="A35" s="32" t="s">
        <v>31</v>
      </c>
      <c r="B35" s="17"/>
      <c r="C35" s="21"/>
      <c r="D35" s="18">
        <v>0</v>
      </c>
      <c r="E35" s="1"/>
      <c r="F35" s="1"/>
      <c r="G35" s="1"/>
    </row>
    <row r="36" spans="1:7" ht="16.5" thickBot="1" x14ac:dyDescent="0.3">
      <c r="A36" s="32" t="s">
        <v>32</v>
      </c>
      <c r="B36" s="17">
        <v>18078.8</v>
      </c>
      <c r="C36" s="21" t="s">
        <v>11</v>
      </c>
      <c r="D36" s="18">
        <v>0</v>
      </c>
      <c r="E36" s="1"/>
      <c r="F36" s="1"/>
      <c r="G36" s="1"/>
    </row>
    <row r="37" spans="1:7" ht="16.5" hidden="1" thickBot="1" x14ac:dyDescent="0.3">
      <c r="A37" s="32" t="s">
        <v>33</v>
      </c>
      <c r="B37" s="17"/>
      <c r="C37" s="21"/>
      <c r="D37" s="18">
        <v>0</v>
      </c>
      <c r="E37" s="1"/>
      <c r="F37" s="1"/>
      <c r="G37" s="1"/>
    </row>
    <row r="38" spans="1:7" ht="16.5" hidden="1" thickBot="1" x14ac:dyDescent="0.3">
      <c r="A38" s="33" t="s">
        <v>155</v>
      </c>
      <c r="B38" s="17"/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33</v>
      </c>
      <c r="B41" s="17"/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4">
        <f>SUM(B43:B45)</f>
        <v>63629.12854960085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52636.820000000007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'[1]63тарифы'!D163*B15*1.1194*1.0952</f>
        <v>10992.308549600843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4">
        <f>SUM(B47:B65)</f>
        <v>12760.294390367999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5252.52*1.1194*1.0952</f>
        <v>6439.4155565376004</v>
      </c>
      <c r="C48" s="21"/>
      <c r="D48" s="18"/>
      <c r="E48" s="1" t="s">
        <v>45</v>
      </c>
      <c r="F48" s="1"/>
      <c r="G48" s="1"/>
    </row>
    <row r="49" spans="1:5" ht="15.75" hidden="1" x14ac:dyDescent="0.25">
      <c r="A49" s="36" t="s">
        <v>117</v>
      </c>
      <c r="B49" s="17">
        <v>0</v>
      </c>
      <c r="C49" s="21"/>
      <c r="D49" s="18"/>
      <c r="E49" s="1"/>
    </row>
    <row r="50" spans="1:5" ht="15.75" x14ac:dyDescent="0.25">
      <c r="A50" s="36" t="s">
        <v>96</v>
      </c>
      <c r="B50" s="17">
        <f>1372.56*1.1194*3</f>
        <v>4609.3309919999992</v>
      </c>
      <c r="C50" s="21"/>
      <c r="D50" s="18">
        <v>4190</v>
      </c>
      <c r="E50" s="1"/>
    </row>
    <row r="51" spans="1:5" ht="16.5" thickBot="1" x14ac:dyDescent="0.3">
      <c r="A51" s="36" t="s">
        <v>95</v>
      </c>
      <c r="B51" s="17">
        <f>465.36*1.1194*3*1.0952</f>
        <v>1711.5478418303999</v>
      </c>
      <c r="C51" s="21"/>
      <c r="D51" s="18"/>
      <c r="E51" s="1"/>
    </row>
    <row r="52" spans="1:5" ht="16.5" hidden="1" thickBot="1" x14ac:dyDescent="0.3">
      <c r="A52" s="36" t="s">
        <v>49</v>
      </c>
      <c r="B52" s="17">
        <f>B21*[2]тарифы!D177</f>
        <v>0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156</v>
      </c>
      <c r="B59" s="17"/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hidden="1" thickBot="1" x14ac:dyDescent="0.3">
      <c r="A64" s="32" t="s">
        <v>61</v>
      </c>
      <c r="B64" s="38">
        <v>0</v>
      </c>
      <c r="C64" s="40">
        <v>21</v>
      </c>
      <c r="D64" s="21">
        <v>2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4">
        <f>SUM(B67:B74)</f>
        <v>120899.74825996242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39526.92*1.1194*1.0952</f>
        <v>48458.694788409593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8619</v>
      </c>
      <c r="C71" s="43"/>
      <c r="D71" s="19"/>
    </row>
    <row r="72" spans="1:4" ht="15.75" x14ac:dyDescent="0.25">
      <c r="A72" s="35" t="s">
        <v>69</v>
      </c>
      <c r="B72" s="17">
        <f>17.7*B15</f>
        <v>29913</v>
      </c>
      <c r="C72" s="34"/>
      <c r="D72" s="19"/>
    </row>
    <row r="73" spans="1:4" ht="15.75" x14ac:dyDescent="0.25">
      <c r="A73" s="44" t="s">
        <v>70</v>
      </c>
      <c r="B73" s="17">
        <f>[2]тарифы!D186*B15*1.1194*1.0952</f>
        <v>3590.6538775546705</v>
      </c>
      <c r="C73" s="34"/>
      <c r="D73" s="19"/>
    </row>
    <row r="74" spans="1:4" ht="15.75" x14ac:dyDescent="0.25">
      <c r="A74" s="35" t="s">
        <v>157</v>
      </c>
      <c r="B74" s="17">
        <f>(([2]тарифы!D167*B15)+([2]тарифы!D187*B15))*1.1194*1.0952</f>
        <v>30318.399593998161</v>
      </c>
      <c r="C74" s="34"/>
      <c r="D74" s="19"/>
    </row>
    <row r="75" spans="1:4" ht="63" x14ac:dyDescent="0.25">
      <c r="A75" s="45" t="s">
        <v>72</v>
      </c>
      <c r="B75" s="24">
        <f>SUM(B76:B76)</f>
        <v>45220.523948927992</v>
      </c>
      <c r="C75" s="34"/>
      <c r="D75" s="19"/>
    </row>
    <row r="76" spans="1:4" ht="15.75" x14ac:dyDescent="0.25">
      <c r="A76" s="35" t="s">
        <v>73</v>
      </c>
      <c r="B76" s="17">
        <f>36885.6*1.1194*1.0952</f>
        <v>45220.523948927992</v>
      </c>
      <c r="C76" s="34"/>
      <c r="D76" s="19"/>
    </row>
    <row r="77" spans="1:4" s="4" customFormat="1" ht="31.5" x14ac:dyDescent="0.25">
      <c r="A77" s="42" t="s">
        <v>74</v>
      </c>
      <c r="B77" s="24">
        <f>SUM(B78:B81)</f>
        <v>33022.3825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thickBot="1" x14ac:dyDescent="0.3">
      <c r="A79" s="47" t="s">
        <v>76</v>
      </c>
      <c r="B79" s="17">
        <f>(B26/1.2)*30%</f>
        <v>27540.352500000001</v>
      </c>
      <c r="C79" s="25"/>
      <c r="D79" s="34"/>
    </row>
    <row r="80" spans="1:4" ht="15.75" x14ac:dyDescent="0.25">
      <c r="A80" s="48" t="s">
        <v>77</v>
      </c>
      <c r="B80" s="17">
        <v>2949.8</v>
      </c>
      <c r="C80" s="43"/>
      <c r="D80" s="19"/>
    </row>
    <row r="81" spans="1:5" ht="15.75" x14ac:dyDescent="0.25">
      <c r="A81" s="48" t="s">
        <v>78</v>
      </c>
      <c r="B81" s="17">
        <v>2532.23</v>
      </c>
      <c r="C81" s="34"/>
      <c r="D81" s="19"/>
      <c r="E81" s="1"/>
    </row>
    <row r="82" spans="1:5" ht="15.75" x14ac:dyDescent="0.25">
      <c r="A82" s="49" t="s">
        <v>79</v>
      </c>
      <c r="B82" s="24">
        <f>B32+B42+B46+B66+B75+B77</f>
        <v>330043.4576488593</v>
      </c>
      <c r="C82" s="34"/>
      <c r="D82" s="19"/>
      <c r="E82" s="1"/>
    </row>
    <row r="83" spans="1:5" ht="15.75" x14ac:dyDescent="0.25">
      <c r="A83" s="50" t="s">
        <v>80</v>
      </c>
      <c r="B83" s="17">
        <f>B82*0.03</f>
        <v>9901.3037294657788</v>
      </c>
      <c r="C83" s="34"/>
      <c r="D83" s="19"/>
      <c r="E83" s="1"/>
    </row>
    <row r="84" spans="1:5" s="31" customFormat="1" ht="15.75" x14ac:dyDescent="0.25">
      <c r="A84" s="51" t="s">
        <v>81</v>
      </c>
      <c r="B84" s="24">
        <f>B82+B83</f>
        <v>339944.76137832506</v>
      </c>
      <c r="C84" s="34"/>
      <c r="D84" s="19"/>
    </row>
    <row r="85" spans="1:5" ht="16.5" thickBot="1" x14ac:dyDescent="0.3">
      <c r="A85" s="52" t="s">
        <v>82</v>
      </c>
      <c r="B85" s="53">
        <f>B84*0.2</f>
        <v>67988.952275665011</v>
      </c>
      <c r="C85" s="34"/>
      <c r="D85" s="19"/>
      <c r="E85" s="1"/>
    </row>
    <row r="86" spans="1:5" s="4" customFormat="1" ht="16.5" thickBot="1" x14ac:dyDescent="0.3">
      <c r="A86" s="54" t="s">
        <v>83</v>
      </c>
      <c r="B86" s="125">
        <f>B84+B85</f>
        <v>407933.71365399007</v>
      </c>
      <c r="C86" s="14"/>
      <c r="D86" s="56"/>
      <c r="E86" s="4" t="s">
        <v>158</v>
      </c>
    </row>
    <row r="87" spans="1:5" s="4" customFormat="1" ht="16.5" thickBot="1" x14ac:dyDescent="0.3">
      <c r="A87" s="57" t="s">
        <v>84</v>
      </c>
      <c r="B87" s="125">
        <f>B10+B24+B26+B28+B29-B86</f>
        <v>-251277.52109740124</v>
      </c>
      <c r="C87" s="58"/>
      <c r="D87" s="59"/>
    </row>
    <row r="88" spans="1:5" s="4" customFormat="1" ht="16.5" hidden="1" thickBot="1" x14ac:dyDescent="0.3">
      <c r="A88" s="60" t="s">
        <v>85</v>
      </c>
      <c r="B88" s="125"/>
      <c r="C88" s="61"/>
      <c r="D88" s="59"/>
    </row>
    <row r="89" spans="1:5" s="4" customFormat="1" ht="16.5" hidden="1" thickBot="1" x14ac:dyDescent="0.3">
      <c r="A89" s="62" t="s">
        <v>86</v>
      </c>
      <c r="B89" s="55"/>
      <c r="C89" s="59"/>
      <c r="D89" s="59"/>
    </row>
    <row r="90" spans="1:5" s="4" customFormat="1" ht="15.75" x14ac:dyDescent="0.25">
      <c r="A90" s="63"/>
      <c r="B90" s="126"/>
      <c r="C90" s="59"/>
      <c r="D90" s="59"/>
    </row>
    <row r="91" spans="1:5" ht="15.75" x14ac:dyDescent="0.25">
      <c r="A91" s="127"/>
      <c r="B91" s="65"/>
      <c r="C91" s="1"/>
      <c r="D91" s="1"/>
      <c r="E91" s="1"/>
    </row>
    <row r="92" spans="1:5" ht="15.75" x14ac:dyDescent="0.25">
      <c r="A92" s="192" t="s">
        <v>413</v>
      </c>
      <c r="B92" s="192"/>
      <c r="C92" s="1"/>
      <c r="D92" s="1"/>
      <c r="E92" s="1"/>
    </row>
    <row r="93" spans="1:5" ht="15.75" x14ac:dyDescent="0.25">
      <c r="A93" s="127"/>
      <c r="B93" s="65"/>
      <c r="C93" s="1"/>
      <c r="D93" s="1"/>
      <c r="E93" s="1"/>
    </row>
    <row r="94" spans="1:5" ht="15.75" hidden="1" x14ac:dyDescent="0.25">
      <c r="A94" s="194" t="s">
        <v>87</v>
      </c>
      <c r="B94" s="194"/>
      <c r="C94" s="66"/>
      <c r="D94" s="1"/>
      <c r="E94" s="1"/>
    </row>
    <row r="95" spans="1:5" ht="15.75" x14ac:dyDescent="0.25">
      <c r="A95" s="1"/>
      <c r="B95" s="65"/>
      <c r="C95" s="1"/>
      <c r="D95" s="1"/>
      <c r="E95" s="1"/>
    </row>
  </sheetData>
  <autoFilter ref="A31:G89" xr:uid="{00000000-0009-0000-0000-000006000000}">
    <filterColumn colId="1">
      <filters>
        <filter val="1 711,55"/>
        <filter val="10 992,31"/>
        <filter val="12 760,29"/>
        <filter val="120 899,75"/>
        <filter val="18 078,80"/>
        <filter val="2 532,23"/>
        <filter val="2 949,80"/>
        <filter val="-251 277,52"/>
        <filter val="27 540,35"/>
        <filter val="29 913,00"/>
        <filter val="3 590,65"/>
        <filter val="30 318,40"/>
        <filter val="33 022,38"/>
        <filter val="330 043,46"/>
        <filter val="339 944,76"/>
        <filter val="36 432,58"/>
        <filter val="4 609,33"/>
        <filter val="407 933,71"/>
        <filter val="45 220,52"/>
        <filter val="48 458,69"/>
        <filter val="52 636,82"/>
        <filter val="54 511,38"/>
        <filter val="6 439,42"/>
        <filter val="63 629,13"/>
        <filter val="67 988,95"/>
        <filter val="8 619,00"/>
        <filter val="9 901,30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78740157480314965" right="0.78740157480314965" top="0.35433070866141736" bottom="0.15748031496062992" header="0.31496062992125984" footer="0.31496062992125984"/>
  <pageSetup paperSize="9" scale="84" orientation="portrait" r:id="rId1"/>
  <rowBreaks count="1" manualBreakCount="1">
    <brk id="93" max="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88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142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-864408.25874220463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1352.1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84.1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1436.1999999999998</v>
      </c>
      <c r="C15" s="20"/>
      <c r="D15" s="21"/>
    </row>
    <row r="16" spans="1:4" ht="16.5" hidden="1" thickBot="1" x14ac:dyDescent="0.3">
      <c r="A16" s="16" t="s">
        <v>15</v>
      </c>
      <c r="B16" s="17">
        <f>1123.5+1241.7/3</f>
        <v>1537.4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345.6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995.3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1217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61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/>
      <c r="F23" s="1"/>
      <c r="G23" s="1"/>
    </row>
    <row r="24" spans="1:7" ht="15.75" x14ac:dyDescent="0.25">
      <c r="A24" s="23" t="s">
        <v>22</v>
      </c>
      <c r="B24" s="24">
        <f>VLOOKUP(A5,Лист11!K:M,2,FALSE)</f>
        <v>285854.82</v>
      </c>
      <c r="C24" s="18"/>
      <c r="D24" s="21"/>
      <c r="E24" s="1"/>
      <c r="F24" s="1"/>
      <c r="G24" s="1"/>
    </row>
    <row r="25" spans="1:7" ht="16.5" thickBot="1" x14ac:dyDescent="0.3">
      <c r="A25" s="23">
        <v>0</v>
      </c>
      <c r="B25" s="24">
        <f>VLOOKUP(A5,Лист11!K:M,3,FALSE)</f>
        <v>291252.44</v>
      </c>
      <c r="C25" s="22"/>
      <c r="D25" s="21"/>
      <c r="E25" s="1"/>
      <c r="F25" s="1"/>
      <c r="G25" s="1"/>
    </row>
    <row r="26" spans="1:7" ht="15.75" x14ac:dyDescent="0.25">
      <c r="A26" s="23" t="s">
        <v>23</v>
      </c>
      <c r="B26" s="24">
        <v>22014.86</v>
      </c>
      <c r="C26" s="15"/>
      <c r="D26" s="18"/>
      <c r="E26" s="1"/>
      <c r="F26" s="1"/>
      <c r="G26" s="1"/>
    </row>
    <row r="27" spans="1:7" ht="16.5" thickBot="1" x14ac:dyDescent="0.3">
      <c r="A27" s="23" t="s">
        <v>24</v>
      </c>
      <c r="B27" s="24">
        <v>0</v>
      </c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1510.2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76925.89</v>
      </c>
      <c r="C32" s="18"/>
      <c r="D32" s="21"/>
      <c r="E32" s="30">
        <f>(B86-B26-B24)/1.2/1.03</f>
        <v>65609.153214221951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v>36000</v>
      </c>
      <c r="C33" s="22"/>
      <c r="D33" s="21">
        <v>12831.26</v>
      </c>
      <c r="E33" s="1"/>
      <c r="F33" s="1"/>
      <c r="G33" s="1"/>
    </row>
    <row r="34" spans="1:7" ht="15.75" hidden="1" x14ac:dyDescent="0.25">
      <c r="A34" s="32" t="s">
        <v>100</v>
      </c>
      <c r="B34" s="17">
        <v>0</v>
      </c>
      <c r="C34" s="15"/>
      <c r="D34" s="18">
        <v>0</v>
      </c>
      <c r="E34" s="1"/>
      <c r="F34" s="1"/>
      <c r="G34" s="1"/>
    </row>
    <row r="35" spans="1:7" ht="15.75" x14ac:dyDescent="0.25">
      <c r="A35" s="32" t="s">
        <v>31</v>
      </c>
      <c r="B35" s="17">
        <v>13620.2</v>
      </c>
      <c r="C35" s="21"/>
      <c r="D35" s="18">
        <v>0</v>
      </c>
      <c r="E35" s="1"/>
      <c r="F35" s="1"/>
      <c r="G35" s="1"/>
    </row>
    <row r="36" spans="1:7" ht="15.75" hidden="1" x14ac:dyDescent="0.25">
      <c r="A36" s="32" t="s">
        <v>32</v>
      </c>
      <c r="B36" s="17"/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/>
      <c r="C37" s="21"/>
      <c r="D37" s="18">
        <v>0</v>
      </c>
      <c r="E37" s="1"/>
      <c r="F37" s="1"/>
      <c r="G37" s="1"/>
    </row>
    <row r="38" spans="1:7" ht="16.5" thickBot="1" x14ac:dyDescent="0.3">
      <c r="A38" s="32" t="s">
        <v>30</v>
      </c>
      <c r="B38" s="17">
        <v>27305.690000000002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108</v>
      </c>
      <c r="B41" s="17">
        <v>0</v>
      </c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53344.363247956244</v>
      </c>
      <c r="C42" s="14"/>
      <c r="D42" s="21"/>
      <c r="E42" s="30"/>
      <c r="F42" s="30"/>
      <c r="G42" s="30"/>
    </row>
    <row r="43" spans="1:7" ht="15.75" x14ac:dyDescent="0.25">
      <c r="A43" s="32" t="s">
        <v>38</v>
      </c>
      <c r="B43" s="17">
        <v>8541.2900000000009</v>
      </c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35148.339999999997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('[1]34тарифы'!D163*B15+255.49)*1.1194*1.0952</f>
        <v>9654.7332479562447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8087.662169865599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2379.66*1.1194*1.0952</f>
        <v>2917.3843456607992</v>
      </c>
      <c r="C48" s="21"/>
      <c r="D48" s="18"/>
      <c r="E48" s="1" t="s">
        <v>45</v>
      </c>
      <c r="F48" s="1"/>
      <c r="G48" s="1"/>
    </row>
    <row r="49" spans="1:5" ht="15.75" x14ac:dyDescent="0.25">
      <c r="A49" s="36" t="s">
        <v>143</v>
      </c>
      <c r="B49" s="17">
        <f>354.56*1.1194*3*1.0952</f>
        <v>1304.0364509183999</v>
      </c>
      <c r="C49" s="21"/>
      <c r="D49" s="18"/>
      <c r="E49" s="1"/>
    </row>
    <row r="50" spans="1:5" ht="15.75" x14ac:dyDescent="0.25">
      <c r="A50" s="36" t="s">
        <v>144</v>
      </c>
      <c r="B50" s="17">
        <f>1045.76*1.1194*3*1.0952</f>
        <v>3846.2013732863998</v>
      </c>
      <c r="C50" s="21"/>
      <c r="D50" s="18">
        <v>4190</v>
      </c>
      <c r="E50" s="1"/>
    </row>
    <row r="51" spans="1:5" ht="15.75" hidden="1" x14ac:dyDescent="0.25">
      <c r="A51" s="36" t="s">
        <v>48</v>
      </c>
      <c r="B51" s="17">
        <v>0</v>
      </c>
      <c r="C51" s="21"/>
      <c r="D51" s="18"/>
      <c r="E51" s="1"/>
    </row>
    <row r="52" spans="1:5" ht="16.5" thickBot="1" x14ac:dyDescent="0.3">
      <c r="A52" s="36" t="s">
        <v>46</v>
      </c>
      <c r="B52" s="17">
        <v>20.04</v>
      </c>
      <c r="C52" s="21"/>
      <c r="D52" s="18">
        <v>105.14</v>
      </c>
      <c r="E52" s="1"/>
    </row>
    <row r="53" spans="1:5" ht="16.5" hidden="1" thickBot="1" x14ac:dyDescent="0.3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6.5" hidden="1" thickBot="1" x14ac:dyDescent="0.3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6.5" hidden="1" thickBot="1" x14ac:dyDescent="0.3">
      <c r="A55" s="36" t="s">
        <v>52</v>
      </c>
      <c r="B55" s="17">
        <v>0</v>
      </c>
      <c r="C55" s="21"/>
      <c r="D55" s="37"/>
      <c r="E55" s="1"/>
    </row>
    <row r="56" spans="1:5" ht="16.5" hidden="1" thickBot="1" x14ac:dyDescent="0.3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6.5" hidden="1" thickBot="1" x14ac:dyDescent="0.3">
      <c r="A57" s="36" t="s">
        <v>54</v>
      </c>
      <c r="B57" s="17">
        <v>0</v>
      </c>
      <c r="C57" s="21">
        <v>0</v>
      </c>
      <c r="D57" s="18">
        <f>2300/1.18</f>
        <v>1949.1525423728815</v>
      </c>
      <c r="E57" s="1"/>
    </row>
    <row r="58" spans="1:5" ht="16.5" hidden="1" thickBot="1" x14ac:dyDescent="0.3">
      <c r="A58" s="36" t="s">
        <v>55</v>
      </c>
      <c r="B58" s="17">
        <v>0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f>B13*'[1]34тарифы'!D184</f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hidden="1" thickBot="1" x14ac:dyDescent="0.3">
      <c r="A64" s="32" t="s">
        <v>61</v>
      </c>
      <c r="B64" s="38">
        <v>0</v>
      </c>
      <c r="C64" s="40">
        <v>16</v>
      </c>
      <c r="D64" s="21">
        <v>1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113412.52338595848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54765*1.1194*1.0952</f>
        <v>67140.076183199999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7324.619999999999</v>
      </c>
      <c r="C71" s="43"/>
      <c r="D71" s="19"/>
    </row>
    <row r="72" spans="1:4" ht="15.75" x14ac:dyDescent="0.25">
      <c r="A72" s="35" t="s">
        <v>69</v>
      </c>
      <c r="B72" s="17">
        <f>17.7*B15</f>
        <v>25420.739999999994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1602.781210319708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11924.305992438791</v>
      </c>
      <c r="C74" s="34"/>
      <c r="D74" s="19"/>
    </row>
    <row r="75" spans="1:4" ht="63" x14ac:dyDescent="0.25">
      <c r="A75" s="45" t="s">
        <v>72</v>
      </c>
      <c r="B75" s="29">
        <f>SUM(B76:B76)</f>
        <v>50368.785797332632</v>
      </c>
      <c r="C75" s="34"/>
      <c r="D75" s="19"/>
    </row>
    <row r="76" spans="1:4" ht="15.75" x14ac:dyDescent="0.25">
      <c r="A76" s="35" t="s">
        <v>73</v>
      </c>
      <c r="B76" s="17">
        <f>'[1]34ОЭР'!D39*1.1194*1.0952</f>
        <v>50368.785797332632</v>
      </c>
      <c r="C76" s="34"/>
      <c r="D76" s="19"/>
    </row>
    <row r="77" spans="1:4" s="4" customFormat="1" ht="31.5" x14ac:dyDescent="0.25">
      <c r="A77" s="42" t="s">
        <v>74</v>
      </c>
      <c r="B77" s="29">
        <f>SUM(B78:B81)</f>
        <v>12555.430231231974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thickBot="1" x14ac:dyDescent="0.3">
      <c r="A79" s="47" t="s">
        <v>76</v>
      </c>
      <c r="B79" s="17">
        <f>(B26/1.2)*30%</f>
        <v>5503.7150000000001</v>
      </c>
      <c r="C79" s="25"/>
      <c r="D79" s="34"/>
    </row>
    <row r="80" spans="1:4" ht="15.75" x14ac:dyDescent="0.25">
      <c r="A80" s="48" t="s">
        <v>77</v>
      </c>
      <c r="B80" s="17">
        <v>4024.68</v>
      </c>
      <c r="C80" s="43"/>
      <c r="D80" s="19"/>
    </row>
    <row r="81" spans="1:4" ht="15.75" x14ac:dyDescent="0.25">
      <c r="A81" s="48" t="s">
        <v>78</v>
      </c>
      <c r="B81" s="17">
        <f>'[1]34тарифы'!D173*B13*1.1194*1.019</f>
        <v>3027.0352312319737</v>
      </c>
      <c r="C81" s="34"/>
      <c r="D81" s="19"/>
    </row>
    <row r="82" spans="1:4" ht="15.75" x14ac:dyDescent="0.25">
      <c r="A82" s="49" t="s">
        <v>79</v>
      </c>
      <c r="B82" s="24">
        <f>B32+B42+B46+B66+B75+B77</f>
        <v>314694.65483234491</v>
      </c>
      <c r="C82" s="34"/>
      <c r="D82" s="19"/>
    </row>
    <row r="83" spans="1:4" ht="15.75" x14ac:dyDescent="0.25">
      <c r="A83" s="50" t="s">
        <v>80</v>
      </c>
      <c r="B83" s="17">
        <f>B82*0.03</f>
        <v>9440.8396449703469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324135.49447731528</v>
      </c>
      <c r="C84" s="34"/>
      <c r="D84" s="19"/>
    </row>
    <row r="85" spans="1:4" ht="16.5" thickBot="1" x14ac:dyDescent="0.3">
      <c r="A85" s="52" t="s">
        <v>82</v>
      </c>
      <c r="B85" s="53">
        <f>B84*0.2</f>
        <v>64827.098895463059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388962.59337277833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-943990.97211498301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07000000}">
    <filterColumn colId="1">
      <filters>
        <filter val="1 304,04"/>
        <filter val="1 602,78"/>
        <filter val="11 924,31"/>
        <filter val="113 412,52"/>
        <filter val="12 555,43"/>
        <filter val="13 620,20"/>
        <filter val="2 917,38"/>
        <filter val="20,04"/>
        <filter val="25 420,74"/>
        <filter val="27 305,69"/>
        <filter val="3 027,04"/>
        <filter val="3 846,20"/>
        <filter val="314 694,65"/>
        <filter val="324 135,49"/>
        <filter val="35 148,34"/>
        <filter val="36 000,00"/>
        <filter val="388 962,59"/>
        <filter val="4 024,68"/>
        <filter val="5 503,72"/>
        <filter val="50 368,79"/>
        <filter val="53 344,36"/>
        <filter val="64 827,10"/>
        <filter val="67 140,08"/>
        <filter val="7 324,62"/>
        <filter val="76 925,89"/>
        <filter val="8 087,66"/>
        <filter val="8 541,29"/>
        <filter val="9 440,84"/>
        <filter val="9 654,73"/>
        <filter val="-943 990,97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pageSetUpPr fitToPage="1"/>
  </sheetPr>
  <dimension ref="A1:G95"/>
  <sheetViews>
    <sheetView view="pageBreakPreview" zoomScale="80" zoomScaleNormal="100" zoomScaleSheetLayoutView="80" workbookViewId="0">
      <selection activeCell="C65" sqref="C65"/>
    </sheetView>
  </sheetViews>
  <sheetFormatPr defaultRowHeight="15" x14ac:dyDescent="0.25"/>
  <cols>
    <col min="1" max="1" width="89.5703125" customWidth="1"/>
    <col min="2" max="2" width="15" customWidth="1"/>
    <col min="3" max="4" width="13.85546875" customWidth="1"/>
    <col min="5" max="5" width="14.140625" customWidth="1"/>
    <col min="6" max="6" width="11.140625" customWidth="1"/>
    <col min="7" max="7" width="12.42578125" bestFit="1" customWidth="1"/>
    <col min="257" max="257" width="101.140625" customWidth="1"/>
    <col min="258" max="258" width="15" customWidth="1"/>
    <col min="259" max="260" width="13.85546875" customWidth="1"/>
    <col min="261" max="261" width="14.140625" customWidth="1"/>
    <col min="262" max="262" width="11.140625" customWidth="1"/>
    <col min="263" max="263" width="12.42578125" bestFit="1" customWidth="1"/>
    <col min="513" max="513" width="101.140625" customWidth="1"/>
    <col min="514" max="514" width="15" customWidth="1"/>
    <col min="515" max="516" width="13.85546875" customWidth="1"/>
    <col min="517" max="517" width="14.140625" customWidth="1"/>
    <col min="518" max="518" width="11.140625" customWidth="1"/>
    <col min="519" max="519" width="12.42578125" bestFit="1" customWidth="1"/>
    <col min="769" max="769" width="101.140625" customWidth="1"/>
    <col min="770" max="770" width="15" customWidth="1"/>
    <col min="771" max="772" width="13.85546875" customWidth="1"/>
    <col min="773" max="773" width="14.140625" customWidth="1"/>
    <col min="774" max="774" width="11.140625" customWidth="1"/>
    <col min="775" max="775" width="12.42578125" bestFit="1" customWidth="1"/>
    <col min="1025" max="1025" width="101.140625" customWidth="1"/>
    <col min="1026" max="1026" width="15" customWidth="1"/>
    <col min="1027" max="1028" width="13.85546875" customWidth="1"/>
    <col min="1029" max="1029" width="14.140625" customWidth="1"/>
    <col min="1030" max="1030" width="11.140625" customWidth="1"/>
    <col min="1031" max="1031" width="12.42578125" bestFit="1" customWidth="1"/>
    <col min="1281" max="1281" width="101.140625" customWidth="1"/>
    <col min="1282" max="1282" width="15" customWidth="1"/>
    <col min="1283" max="1284" width="13.85546875" customWidth="1"/>
    <col min="1285" max="1285" width="14.140625" customWidth="1"/>
    <col min="1286" max="1286" width="11.140625" customWidth="1"/>
    <col min="1287" max="1287" width="12.42578125" bestFit="1" customWidth="1"/>
    <col min="1537" max="1537" width="101.140625" customWidth="1"/>
    <col min="1538" max="1538" width="15" customWidth="1"/>
    <col min="1539" max="1540" width="13.85546875" customWidth="1"/>
    <col min="1541" max="1541" width="14.140625" customWidth="1"/>
    <col min="1542" max="1542" width="11.140625" customWidth="1"/>
    <col min="1543" max="1543" width="12.42578125" bestFit="1" customWidth="1"/>
    <col min="1793" max="1793" width="101.140625" customWidth="1"/>
    <col min="1794" max="1794" width="15" customWidth="1"/>
    <col min="1795" max="1796" width="13.85546875" customWidth="1"/>
    <col min="1797" max="1797" width="14.140625" customWidth="1"/>
    <col min="1798" max="1798" width="11.140625" customWidth="1"/>
    <col min="1799" max="1799" width="12.42578125" bestFit="1" customWidth="1"/>
    <col min="2049" max="2049" width="101.140625" customWidth="1"/>
    <col min="2050" max="2050" width="15" customWidth="1"/>
    <col min="2051" max="2052" width="13.85546875" customWidth="1"/>
    <col min="2053" max="2053" width="14.140625" customWidth="1"/>
    <col min="2054" max="2054" width="11.140625" customWidth="1"/>
    <col min="2055" max="2055" width="12.42578125" bestFit="1" customWidth="1"/>
    <col min="2305" max="2305" width="101.140625" customWidth="1"/>
    <col min="2306" max="2306" width="15" customWidth="1"/>
    <col min="2307" max="2308" width="13.85546875" customWidth="1"/>
    <col min="2309" max="2309" width="14.140625" customWidth="1"/>
    <col min="2310" max="2310" width="11.140625" customWidth="1"/>
    <col min="2311" max="2311" width="12.42578125" bestFit="1" customWidth="1"/>
    <col min="2561" max="2561" width="101.140625" customWidth="1"/>
    <col min="2562" max="2562" width="15" customWidth="1"/>
    <col min="2563" max="2564" width="13.85546875" customWidth="1"/>
    <col min="2565" max="2565" width="14.140625" customWidth="1"/>
    <col min="2566" max="2566" width="11.140625" customWidth="1"/>
    <col min="2567" max="2567" width="12.42578125" bestFit="1" customWidth="1"/>
    <col min="2817" max="2817" width="101.140625" customWidth="1"/>
    <col min="2818" max="2818" width="15" customWidth="1"/>
    <col min="2819" max="2820" width="13.85546875" customWidth="1"/>
    <col min="2821" max="2821" width="14.140625" customWidth="1"/>
    <col min="2822" max="2822" width="11.140625" customWidth="1"/>
    <col min="2823" max="2823" width="12.42578125" bestFit="1" customWidth="1"/>
    <col min="3073" max="3073" width="101.140625" customWidth="1"/>
    <col min="3074" max="3074" width="15" customWidth="1"/>
    <col min="3075" max="3076" width="13.85546875" customWidth="1"/>
    <col min="3077" max="3077" width="14.140625" customWidth="1"/>
    <col min="3078" max="3078" width="11.140625" customWidth="1"/>
    <col min="3079" max="3079" width="12.42578125" bestFit="1" customWidth="1"/>
    <col min="3329" max="3329" width="101.140625" customWidth="1"/>
    <col min="3330" max="3330" width="15" customWidth="1"/>
    <col min="3331" max="3332" width="13.85546875" customWidth="1"/>
    <col min="3333" max="3333" width="14.140625" customWidth="1"/>
    <col min="3334" max="3334" width="11.140625" customWidth="1"/>
    <col min="3335" max="3335" width="12.42578125" bestFit="1" customWidth="1"/>
    <col min="3585" max="3585" width="101.140625" customWidth="1"/>
    <col min="3586" max="3586" width="15" customWidth="1"/>
    <col min="3587" max="3588" width="13.85546875" customWidth="1"/>
    <col min="3589" max="3589" width="14.140625" customWidth="1"/>
    <col min="3590" max="3590" width="11.140625" customWidth="1"/>
    <col min="3591" max="3591" width="12.42578125" bestFit="1" customWidth="1"/>
    <col min="3841" max="3841" width="101.140625" customWidth="1"/>
    <col min="3842" max="3842" width="15" customWidth="1"/>
    <col min="3843" max="3844" width="13.85546875" customWidth="1"/>
    <col min="3845" max="3845" width="14.140625" customWidth="1"/>
    <col min="3846" max="3846" width="11.140625" customWidth="1"/>
    <col min="3847" max="3847" width="12.42578125" bestFit="1" customWidth="1"/>
    <col min="4097" max="4097" width="101.140625" customWidth="1"/>
    <col min="4098" max="4098" width="15" customWidth="1"/>
    <col min="4099" max="4100" width="13.85546875" customWidth="1"/>
    <col min="4101" max="4101" width="14.140625" customWidth="1"/>
    <col min="4102" max="4102" width="11.140625" customWidth="1"/>
    <col min="4103" max="4103" width="12.42578125" bestFit="1" customWidth="1"/>
    <col min="4353" max="4353" width="101.140625" customWidth="1"/>
    <col min="4354" max="4354" width="15" customWidth="1"/>
    <col min="4355" max="4356" width="13.85546875" customWidth="1"/>
    <col min="4357" max="4357" width="14.140625" customWidth="1"/>
    <col min="4358" max="4358" width="11.140625" customWidth="1"/>
    <col min="4359" max="4359" width="12.42578125" bestFit="1" customWidth="1"/>
    <col min="4609" max="4609" width="101.140625" customWidth="1"/>
    <col min="4610" max="4610" width="15" customWidth="1"/>
    <col min="4611" max="4612" width="13.85546875" customWidth="1"/>
    <col min="4613" max="4613" width="14.140625" customWidth="1"/>
    <col min="4614" max="4614" width="11.140625" customWidth="1"/>
    <col min="4615" max="4615" width="12.42578125" bestFit="1" customWidth="1"/>
    <col min="4865" max="4865" width="101.140625" customWidth="1"/>
    <col min="4866" max="4866" width="15" customWidth="1"/>
    <col min="4867" max="4868" width="13.85546875" customWidth="1"/>
    <col min="4869" max="4869" width="14.140625" customWidth="1"/>
    <col min="4870" max="4870" width="11.140625" customWidth="1"/>
    <col min="4871" max="4871" width="12.42578125" bestFit="1" customWidth="1"/>
    <col min="5121" max="5121" width="101.140625" customWidth="1"/>
    <col min="5122" max="5122" width="15" customWidth="1"/>
    <col min="5123" max="5124" width="13.85546875" customWidth="1"/>
    <col min="5125" max="5125" width="14.140625" customWidth="1"/>
    <col min="5126" max="5126" width="11.140625" customWidth="1"/>
    <col min="5127" max="5127" width="12.42578125" bestFit="1" customWidth="1"/>
    <col min="5377" max="5377" width="101.140625" customWidth="1"/>
    <col min="5378" max="5378" width="15" customWidth="1"/>
    <col min="5379" max="5380" width="13.85546875" customWidth="1"/>
    <col min="5381" max="5381" width="14.140625" customWidth="1"/>
    <col min="5382" max="5382" width="11.140625" customWidth="1"/>
    <col min="5383" max="5383" width="12.42578125" bestFit="1" customWidth="1"/>
    <col min="5633" max="5633" width="101.140625" customWidth="1"/>
    <col min="5634" max="5634" width="15" customWidth="1"/>
    <col min="5635" max="5636" width="13.85546875" customWidth="1"/>
    <col min="5637" max="5637" width="14.140625" customWidth="1"/>
    <col min="5638" max="5638" width="11.140625" customWidth="1"/>
    <col min="5639" max="5639" width="12.42578125" bestFit="1" customWidth="1"/>
    <col min="5889" max="5889" width="101.140625" customWidth="1"/>
    <col min="5890" max="5890" width="15" customWidth="1"/>
    <col min="5891" max="5892" width="13.85546875" customWidth="1"/>
    <col min="5893" max="5893" width="14.140625" customWidth="1"/>
    <col min="5894" max="5894" width="11.140625" customWidth="1"/>
    <col min="5895" max="5895" width="12.42578125" bestFit="1" customWidth="1"/>
    <col min="6145" max="6145" width="101.140625" customWidth="1"/>
    <col min="6146" max="6146" width="15" customWidth="1"/>
    <col min="6147" max="6148" width="13.85546875" customWidth="1"/>
    <col min="6149" max="6149" width="14.140625" customWidth="1"/>
    <col min="6150" max="6150" width="11.140625" customWidth="1"/>
    <col min="6151" max="6151" width="12.42578125" bestFit="1" customWidth="1"/>
    <col min="6401" max="6401" width="101.140625" customWidth="1"/>
    <col min="6402" max="6402" width="15" customWidth="1"/>
    <col min="6403" max="6404" width="13.85546875" customWidth="1"/>
    <col min="6405" max="6405" width="14.140625" customWidth="1"/>
    <col min="6406" max="6406" width="11.140625" customWidth="1"/>
    <col min="6407" max="6407" width="12.42578125" bestFit="1" customWidth="1"/>
    <col min="6657" max="6657" width="101.140625" customWidth="1"/>
    <col min="6658" max="6658" width="15" customWidth="1"/>
    <col min="6659" max="6660" width="13.85546875" customWidth="1"/>
    <col min="6661" max="6661" width="14.140625" customWidth="1"/>
    <col min="6662" max="6662" width="11.140625" customWidth="1"/>
    <col min="6663" max="6663" width="12.42578125" bestFit="1" customWidth="1"/>
    <col min="6913" max="6913" width="101.140625" customWidth="1"/>
    <col min="6914" max="6914" width="15" customWidth="1"/>
    <col min="6915" max="6916" width="13.85546875" customWidth="1"/>
    <col min="6917" max="6917" width="14.140625" customWidth="1"/>
    <col min="6918" max="6918" width="11.140625" customWidth="1"/>
    <col min="6919" max="6919" width="12.42578125" bestFit="1" customWidth="1"/>
    <col min="7169" max="7169" width="101.140625" customWidth="1"/>
    <col min="7170" max="7170" width="15" customWidth="1"/>
    <col min="7171" max="7172" width="13.85546875" customWidth="1"/>
    <col min="7173" max="7173" width="14.140625" customWidth="1"/>
    <col min="7174" max="7174" width="11.140625" customWidth="1"/>
    <col min="7175" max="7175" width="12.42578125" bestFit="1" customWidth="1"/>
    <col min="7425" max="7425" width="101.140625" customWidth="1"/>
    <col min="7426" max="7426" width="15" customWidth="1"/>
    <col min="7427" max="7428" width="13.85546875" customWidth="1"/>
    <col min="7429" max="7429" width="14.140625" customWidth="1"/>
    <col min="7430" max="7430" width="11.140625" customWidth="1"/>
    <col min="7431" max="7431" width="12.42578125" bestFit="1" customWidth="1"/>
    <col min="7681" max="7681" width="101.140625" customWidth="1"/>
    <col min="7682" max="7682" width="15" customWidth="1"/>
    <col min="7683" max="7684" width="13.85546875" customWidth="1"/>
    <col min="7685" max="7685" width="14.140625" customWidth="1"/>
    <col min="7686" max="7686" width="11.140625" customWidth="1"/>
    <col min="7687" max="7687" width="12.42578125" bestFit="1" customWidth="1"/>
    <col min="7937" max="7937" width="101.140625" customWidth="1"/>
    <col min="7938" max="7938" width="15" customWidth="1"/>
    <col min="7939" max="7940" width="13.85546875" customWidth="1"/>
    <col min="7941" max="7941" width="14.140625" customWidth="1"/>
    <col min="7942" max="7942" width="11.140625" customWidth="1"/>
    <col min="7943" max="7943" width="12.42578125" bestFit="1" customWidth="1"/>
    <col min="8193" max="8193" width="101.140625" customWidth="1"/>
    <col min="8194" max="8194" width="15" customWidth="1"/>
    <col min="8195" max="8196" width="13.85546875" customWidth="1"/>
    <col min="8197" max="8197" width="14.140625" customWidth="1"/>
    <col min="8198" max="8198" width="11.140625" customWidth="1"/>
    <col min="8199" max="8199" width="12.42578125" bestFit="1" customWidth="1"/>
    <col min="8449" max="8449" width="101.140625" customWidth="1"/>
    <col min="8450" max="8450" width="15" customWidth="1"/>
    <col min="8451" max="8452" width="13.85546875" customWidth="1"/>
    <col min="8453" max="8453" width="14.140625" customWidth="1"/>
    <col min="8454" max="8454" width="11.140625" customWidth="1"/>
    <col min="8455" max="8455" width="12.42578125" bestFit="1" customWidth="1"/>
    <col min="8705" max="8705" width="101.140625" customWidth="1"/>
    <col min="8706" max="8706" width="15" customWidth="1"/>
    <col min="8707" max="8708" width="13.85546875" customWidth="1"/>
    <col min="8709" max="8709" width="14.140625" customWidth="1"/>
    <col min="8710" max="8710" width="11.140625" customWidth="1"/>
    <col min="8711" max="8711" width="12.42578125" bestFit="1" customWidth="1"/>
    <col min="8961" max="8961" width="101.140625" customWidth="1"/>
    <col min="8962" max="8962" width="15" customWidth="1"/>
    <col min="8963" max="8964" width="13.85546875" customWidth="1"/>
    <col min="8965" max="8965" width="14.140625" customWidth="1"/>
    <col min="8966" max="8966" width="11.140625" customWidth="1"/>
    <col min="8967" max="8967" width="12.42578125" bestFit="1" customWidth="1"/>
    <col min="9217" max="9217" width="101.140625" customWidth="1"/>
    <col min="9218" max="9218" width="15" customWidth="1"/>
    <col min="9219" max="9220" width="13.85546875" customWidth="1"/>
    <col min="9221" max="9221" width="14.140625" customWidth="1"/>
    <col min="9222" max="9222" width="11.140625" customWidth="1"/>
    <col min="9223" max="9223" width="12.42578125" bestFit="1" customWidth="1"/>
    <col min="9473" max="9473" width="101.140625" customWidth="1"/>
    <col min="9474" max="9474" width="15" customWidth="1"/>
    <col min="9475" max="9476" width="13.85546875" customWidth="1"/>
    <col min="9477" max="9477" width="14.140625" customWidth="1"/>
    <col min="9478" max="9478" width="11.140625" customWidth="1"/>
    <col min="9479" max="9479" width="12.42578125" bestFit="1" customWidth="1"/>
    <col min="9729" max="9729" width="101.140625" customWidth="1"/>
    <col min="9730" max="9730" width="15" customWidth="1"/>
    <col min="9731" max="9732" width="13.85546875" customWidth="1"/>
    <col min="9733" max="9733" width="14.140625" customWidth="1"/>
    <col min="9734" max="9734" width="11.140625" customWidth="1"/>
    <col min="9735" max="9735" width="12.42578125" bestFit="1" customWidth="1"/>
    <col min="9985" max="9985" width="101.140625" customWidth="1"/>
    <col min="9986" max="9986" width="15" customWidth="1"/>
    <col min="9987" max="9988" width="13.85546875" customWidth="1"/>
    <col min="9989" max="9989" width="14.140625" customWidth="1"/>
    <col min="9990" max="9990" width="11.140625" customWidth="1"/>
    <col min="9991" max="9991" width="12.42578125" bestFit="1" customWidth="1"/>
    <col min="10241" max="10241" width="101.140625" customWidth="1"/>
    <col min="10242" max="10242" width="15" customWidth="1"/>
    <col min="10243" max="10244" width="13.85546875" customWidth="1"/>
    <col min="10245" max="10245" width="14.140625" customWidth="1"/>
    <col min="10246" max="10246" width="11.140625" customWidth="1"/>
    <col min="10247" max="10247" width="12.42578125" bestFit="1" customWidth="1"/>
    <col min="10497" max="10497" width="101.140625" customWidth="1"/>
    <col min="10498" max="10498" width="15" customWidth="1"/>
    <col min="10499" max="10500" width="13.85546875" customWidth="1"/>
    <col min="10501" max="10501" width="14.140625" customWidth="1"/>
    <col min="10502" max="10502" width="11.140625" customWidth="1"/>
    <col min="10503" max="10503" width="12.42578125" bestFit="1" customWidth="1"/>
    <col min="10753" max="10753" width="101.140625" customWidth="1"/>
    <col min="10754" max="10754" width="15" customWidth="1"/>
    <col min="10755" max="10756" width="13.85546875" customWidth="1"/>
    <col min="10757" max="10757" width="14.140625" customWidth="1"/>
    <col min="10758" max="10758" width="11.140625" customWidth="1"/>
    <col min="10759" max="10759" width="12.42578125" bestFit="1" customWidth="1"/>
    <col min="11009" max="11009" width="101.140625" customWidth="1"/>
    <col min="11010" max="11010" width="15" customWidth="1"/>
    <col min="11011" max="11012" width="13.85546875" customWidth="1"/>
    <col min="11013" max="11013" width="14.140625" customWidth="1"/>
    <col min="11014" max="11014" width="11.140625" customWidth="1"/>
    <col min="11015" max="11015" width="12.42578125" bestFit="1" customWidth="1"/>
    <col min="11265" max="11265" width="101.140625" customWidth="1"/>
    <col min="11266" max="11266" width="15" customWidth="1"/>
    <col min="11267" max="11268" width="13.85546875" customWidth="1"/>
    <col min="11269" max="11269" width="14.140625" customWidth="1"/>
    <col min="11270" max="11270" width="11.140625" customWidth="1"/>
    <col min="11271" max="11271" width="12.42578125" bestFit="1" customWidth="1"/>
    <col min="11521" max="11521" width="101.140625" customWidth="1"/>
    <col min="11522" max="11522" width="15" customWidth="1"/>
    <col min="11523" max="11524" width="13.85546875" customWidth="1"/>
    <col min="11525" max="11525" width="14.140625" customWidth="1"/>
    <col min="11526" max="11526" width="11.140625" customWidth="1"/>
    <col min="11527" max="11527" width="12.42578125" bestFit="1" customWidth="1"/>
    <col min="11777" max="11777" width="101.140625" customWidth="1"/>
    <col min="11778" max="11778" width="15" customWidth="1"/>
    <col min="11779" max="11780" width="13.85546875" customWidth="1"/>
    <col min="11781" max="11781" width="14.140625" customWidth="1"/>
    <col min="11782" max="11782" width="11.140625" customWidth="1"/>
    <col min="11783" max="11783" width="12.42578125" bestFit="1" customWidth="1"/>
    <col min="12033" max="12033" width="101.140625" customWidth="1"/>
    <col min="12034" max="12034" width="15" customWidth="1"/>
    <col min="12035" max="12036" width="13.85546875" customWidth="1"/>
    <col min="12037" max="12037" width="14.140625" customWidth="1"/>
    <col min="12038" max="12038" width="11.140625" customWidth="1"/>
    <col min="12039" max="12039" width="12.42578125" bestFit="1" customWidth="1"/>
    <col min="12289" max="12289" width="101.140625" customWidth="1"/>
    <col min="12290" max="12290" width="15" customWidth="1"/>
    <col min="12291" max="12292" width="13.85546875" customWidth="1"/>
    <col min="12293" max="12293" width="14.140625" customWidth="1"/>
    <col min="12294" max="12294" width="11.140625" customWidth="1"/>
    <col min="12295" max="12295" width="12.42578125" bestFit="1" customWidth="1"/>
    <col min="12545" max="12545" width="101.140625" customWidth="1"/>
    <col min="12546" max="12546" width="15" customWidth="1"/>
    <col min="12547" max="12548" width="13.85546875" customWidth="1"/>
    <col min="12549" max="12549" width="14.140625" customWidth="1"/>
    <col min="12550" max="12550" width="11.140625" customWidth="1"/>
    <col min="12551" max="12551" width="12.42578125" bestFit="1" customWidth="1"/>
    <col min="12801" max="12801" width="101.140625" customWidth="1"/>
    <col min="12802" max="12802" width="15" customWidth="1"/>
    <col min="12803" max="12804" width="13.85546875" customWidth="1"/>
    <col min="12805" max="12805" width="14.140625" customWidth="1"/>
    <col min="12806" max="12806" width="11.140625" customWidth="1"/>
    <col min="12807" max="12807" width="12.42578125" bestFit="1" customWidth="1"/>
    <col min="13057" max="13057" width="101.140625" customWidth="1"/>
    <col min="13058" max="13058" width="15" customWidth="1"/>
    <col min="13059" max="13060" width="13.85546875" customWidth="1"/>
    <col min="13061" max="13061" width="14.140625" customWidth="1"/>
    <col min="13062" max="13062" width="11.140625" customWidth="1"/>
    <col min="13063" max="13063" width="12.42578125" bestFit="1" customWidth="1"/>
    <col min="13313" max="13313" width="101.140625" customWidth="1"/>
    <col min="13314" max="13314" width="15" customWidth="1"/>
    <col min="13315" max="13316" width="13.85546875" customWidth="1"/>
    <col min="13317" max="13317" width="14.140625" customWidth="1"/>
    <col min="13318" max="13318" width="11.140625" customWidth="1"/>
    <col min="13319" max="13319" width="12.42578125" bestFit="1" customWidth="1"/>
    <col min="13569" max="13569" width="101.140625" customWidth="1"/>
    <col min="13570" max="13570" width="15" customWidth="1"/>
    <col min="13571" max="13572" width="13.85546875" customWidth="1"/>
    <col min="13573" max="13573" width="14.140625" customWidth="1"/>
    <col min="13574" max="13574" width="11.140625" customWidth="1"/>
    <col min="13575" max="13575" width="12.42578125" bestFit="1" customWidth="1"/>
    <col min="13825" max="13825" width="101.140625" customWidth="1"/>
    <col min="13826" max="13826" width="15" customWidth="1"/>
    <col min="13827" max="13828" width="13.85546875" customWidth="1"/>
    <col min="13829" max="13829" width="14.140625" customWidth="1"/>
    <col min="13830" max="13830" width="11.140625" customWidth="1"/>
    <col min="13831" max="13831" width="12.42578125" bestFit="1" customWidth="1"/>
    <col min="14081" max="14081" width="101.140625" customWidth="1"/>
    <col min="14082" max="14082" width="15" customWidth="1"/>
    <col min="14083" max="14084" width="13.85546875" customWidth="1"/>
    <col min="14085" max="14085" width="14.140625" customWidth="1"/>
    <col min="14086" max="14086" width="11.140625" customWidth="1"/>
    <col min="14087" max="14087" width="12.42578125" bestFit="1" customWidth="1"/>
    <col min="14337" max="14337" width="101.140625" customWidth="1"/>
    <col min="14338" max="14338" width="15" customWidth="1"/>
    <col min="14339" max="14340" width="13.85546875" customWidth="1"/>
    <col min="14341" max="14341" width="14.140625" customWidth="1"/>
    <col min="14342" max="14342" width="11.140625" customWidth="1"/>
    <col min="14343" max="14343" width="12.42578125" bestFit="1" customWidth="1"/>
    <col min="14593" max="14593" width="101.140625" customWidth="1"/>
    <col min="14594" max="14594" width="15" customWidth="1"/>
    <col min="14595" max="14596" width="13.85546875" customWidth="1"/>
    <col min="14597" max="14597" width="14.140625" customWidth="1"/>
    <col min="14598" max="14598" width="11.140625" customWidth="1"/>
    <col min="14599" max="14599" width="12.42578125" bestFit="1" customWidth="1"/>
    <col min="14849" max="14849" width="101.140625" customWidth="1"/>
    <col min="14850" max="14850" width="15" customWidth="1"/>
    <col min="14851" max="14852" width="13.85546875" customWidth="1"/>
    <col min="14853" max="14853" width="14.140625" customWidth="1"/>
    <col min="14854" max="14854" width="11.140625" customWidth="1"/>
    <col min="14855" max="14855" width="12.42578125" bestFit="1" customWidth="1"/>
    <col min="15105" max="15105" width="101.140625" customWidth="1"/>
    <col min="15106" max="15106" width="15" customWidth="1"/>
    <col min="15107" max="15108" width="13.85546875" customWidth="1"/>
    <col min="15109" max="15109" width="14.140625" customWidth="1"/>
    <col min="15110" max="15110" width="11.140625" customWidth="1"/>
    <col min="15111" max="15111" width="12.42578125" bestFit="1" customWidth="1"/>
    <col min="15361" max="15361" width="101.140625" customWidth="1"/>
    <col min="15362" max="15362" width="15" customWidth="1"/>
    <col min="15363" max="15364" width="13.85546875" customWidth="1"/>
    <col min="15365" max="15365" width="14.140625" customWidth="1"/>
    <col min="15366" max="15366" width="11.140625" customWidth="1"/>
    <col min="15367" max="15367" width="12.42578125" bestFit="1" customWidth="1"/>
    <col min="15617" max="15617" width="101.140625" customWidth="1"/>
    <col min="15618" max="15618" width="15" customWidth="1"/>
    <col min="15619" max="15620" width="13.85546875" customWidth="1"/>
    <col min="15621" max="15621" width="14.140625" customWidth="1"/>
    <col min="15622" max="15622" width="11.140625" customWidth="1"/>
    <col min="15623" max="15623" width="12.42578125" bestFit="1" customWidth="1"/>
    <col min="15873" max="15873" width="101.140625" customWidth="1"/>
    <col min="15874" max="15874" width="15" customWidth="1"/>
    <col min="15875" max="15876" width="13.85546875" customWidth="1"/>
    <col min="15877" max="15877" width="14.140625" customWidth="1"/>
    <col min="15878" max="15878" width="11.140625" customWidth="1"/>
    <col min="15879" max="15879" width="12.42578125" bestFit="1" customWidth="1"/>
    <col min="16129" max="16129" width="101.140625" customWidth="1"/>
    <col min="16130" max="16130" width="15" customWidth="1"/>
    <col min="16131" max="16132" width="13.85546875" customWidth="1"/>
    <col min="16133" max="16133" width="14.140625" customWidth="1"/>
    <col min="16134" max="16134" width="11.140625" customWidth="1"/>
    <col min="16135" max="16135" width="12.42578125" bestFit="1" customWidth="1"/>
  </cols>
  <sheetData>
    <row r="1" spans="1:4" ht="16.5" customHeight="1" x14ac:dyDescent="0.25">
      <c r="A1" s="195" t="s">
        <v>0</v>
      </c>
      <c r="B1" s="195"/>
      <c r="C1" s="1"/>
      <c r="D1" s="1"/>
    </row>
    <row r="2" spans="1:4" ht="16.5" x14ac:dyDescent="0.25">
      <c r="A2" s="197" t="s">
        <v>1</v>
      </c>
      <c r="B2" s="197"/>
      <c r="C2" s="1"/>
      <c r="D2" s="1"/>
    </row>
    <row r="3" spans="1:4" ht="16.5" x14ac:dyDescent="0.25">
      <c r="A3" s="197" t="s">
        <v>2</v>
      </c>
      <c r="B3" s="197"/>
      <c r="C3" s="1"/>
      <c r="D3" s="1"/>
    </row>
    <row r="4" spans="1:4" ht="15.75" x14ac:dyDescent="0.25">
      <c r="A4" s="2" t="s">
        <v>97</v>
      </c>
      <c r="B4" s="2"/>
      <c r="C4" s="1"/>
      <c r="D4" s="1"/>
    </row>
    <row r="5" spans="1:4" ht="15.75" x14ac:dyDescent="0.25">
      <c r="A5" s="2" t="s">
        <v>141</v>
      </c>
      <c r="B5" s="2"/>
      <c r="C5" s="1"/>
      <c r="D5" s="1"/>
    </row>
    <row r="6" spans="1:4" ht="5.25" customHeight="1" x14ac:dyDescent="0.25">
      <c r="A6" s="2"/>
      <c r="B6" s="3"/>
      <c r="C6" s="4"/>
      <c r="D6" s="1"/>
    </row>
    <row r="7" spans="1:4" ht="16.5" thickBot="1" x14ac:dyDescent="0.3">
      <c r="A7" s="5"/>
      <c r="B7" s="3"/>
      <c r="C7" s="4"/>
      <c r="D7" s="1"/>
    </row>
    <row r="8" spans="1:4" ht="15.75" customHeight="1" x14ac:dyDescent="0.25">
      <c r="A8" s="199" t="s">
        <v>4</v>
      </c>
      <c r="B8" s="201" t="s">
        <v>5</v>
      </c>
      <c r="C8" s="203" t="s">
        <v>6</v>
      </c>
      <c r="D8" s="190" t="s">
        <v>7</v>
      </c>
    </row>
    <row r="9" spans="1:4" ht="28.5" customHeight="1" thickBot="1" x14ac:dyDescent="0.3">
      <c r="A9" s="200"/>
      <c r="B9" s="202"/>
      <c r="C9" s="204"/>
      <c r="D9" s="191"/>
    </row>
    <row r="10" spans="1:4" ht="16.5" thickBot="1" x14ac:dyDescent="0.3">
      <c r="A10" s="6" t="s">
        <v>8</v>
      </c>
      <c r="B10" s="7">
        <v>-531122.32771860028</v>
      </c>
      <c r="C10" s="8"/>
      <c r="D10" s="9"/>
    </row>
    <row r="11" spans="1:4" ht="16.5" hidden="1" thickBot="1" x14ac:dyDescent="0.3">
      <c r="A11" s="10" t="s">
        <v>9</v>
      </c>
      <c r="B11" s="7"/>
      <c r="C11" s="9"/>
      <c r="D11" s="11"/>
    </row>
    <row r="12" spans="1:4" ht="16.5" thickBot="1" x14ac:dyDescent="0.3">
      <c r="A12" s="12" t="s">
        <v>10</v>
      </c>
      <c r="B12" s="13"/>
      <c r="C12" s="14" t="s">
        <v>11</v>
      </c>
      <c r="D12" s="15" t="s">
        <v>11</v>
      </c>
    </row>
    <row r="13" spans="1:4" ht="16.5" hidden="1" thickBot="1" x14ac:dyDescent="0.3">
      <c r="A13" s="16" t="s">
        <v>12</v>
      </c>
      <c r="B13" s="17">
        <v>636</v>
      </c>
      <c r="C13" s="15" t="s">
        <v>11</v>
      </c>
      <c r="D13" s="18" t="s">
        <v>11</v>
      </c>
    </row>
    <row r="14" spans="1:4" ht="16.5" hidden="1" thickBot="1" x14ac:dyDescent="0.3">
      <c r="A14" s="16" t="s">
        <v>13</v>
      </c>
      <c r="B14" s="17">
        <v>0</v>
      </c>
      <c r="C14" s="19"/>
      <c r="D14" s="18"/>
    </row>
    <row r="15" spans="1:4" ht="16.5" hidden="1" thickBot="1" x14ac:dyDescent="0.3">
      <c r="A15" s="16" t="s">
        <v>14</v>
      </c>
      <c r="B15" s="17">
        <f>B13+B14</f>
        <v>636</v>
      </c>
      <c r="C15" s="20"/>
      <c r="D15" s="21"/>
    </row>
    <row r="16" spans="1:4" ht="16.5" hidden="1" thickBot="1" x14ac:dyDescent="0.3">
      <c r="A16" s="16" t="s">
        <v>15</v>
      </c>
      <c r="B16" s="17">
        <f>815+384.9/3</f>
        <v>943.3</v>
      </c>
      <c r="C16" s="22" t="s">
        <v>11</v>
      </c>
      <c r="D16" s="21" t="s">
        <v>11</v>
      </c>
    </row>
    <row r="17" spans="1:7" ht="16.5" hidden="1" thickBot="1" x14ac:dyDescent="0.3">
      <c r="A17" s="16" t="s">
        <v>16</v>
      </c>
      <c r="B17" s="17">
        <v>0</v>
      </c>
      <c r="C17" s="15" t="s">
        <v>11</v>
      </c>
      <c r="D17" s="18" t="s">
        <v>11</v>
      </c>
      <c r="E17" s="1"/>
      <c r="F17" s="1"/>
      <c r="G17" s="1"/>
    </row>
    <row r="18" spans="1:7" ht="16.5" hidden="1" thickBot="1" x14ac:dyDescent="0.3">
      <c r="A18" s="16" t="s">
        <v>17</v>
      </c>
      <c r="B18" s="17">
        <v>222.3</v>
      </c>
      <c r="C18" s="21" t="s">
        <v>11</v>
      </c>
      <c r="D18" s="18" t="s">
        <v>11</v>
      </c>
      <c r="E18" s="1"/>
      <c r="F18" s="1"/>
      <c r="G18" s="1"/>
    </row>
    <row r="19" spans="1:7" ht="16.5" hidden="1" thickBot="1" x14ac:dyDescent="0.3">
      <c r="A19" s="16" t="s">
        <v>18</v>
      </c>
      <c r="B19" s="17">
        <v>0</v>
      </c>
      <c r="C19" s="21" t="s">
        <v>11</v>
      </c>
      <c r="D19" s="18" t="s">
        <v>11</v>
      </c>
      <c r="E19" s="1"/>
      <c r="F19" s="1"/>
      <c r="G19" s="1"/>
    </row>
    <row r="20" spans="1:7" ht="16.5" hidden="1" thickBot="1" x14ac:dyDescent="0.3">
      <c r="A20" s="16" t="s">
        <v>19</v>
      </c>
      <c r="B20" s="17">
        <v>499</v>
      </c>
      <c r="C20" s="21"/>
      <c r="D20" s="18"/>
      <c r="E20" s="1"/>
      <c r="F20" s="1"/>
      <c r="G20" s="1"/>
    </row>
    <row r="21" spans="1:7" ht="16.5" hidden="1" thickBot="1" x14ac:dyDescent="0.3">
      <c r="A21" s="16" t="s">
        <v>20</v>
      </c>
      <c r="B21" s="17">
        <v>0</v>
      </c>
      <c r="C21" s="21" t="s">
        <v>11</v>
      </c>
      <c r="D21" s="18" t="s">
        <v>11</v>
      </c>
      <c r="E21" s="1"/>
      <c r="F21" s="1"/>
      <c r="G21" s="1"/>
    </row>
    <row r="22" spans="1:7" ht="16.5" hidden="1" thickBot="1" x14ac:dyDescent="0.3">
      <c r="A22" s="16" t="s">
        <v>21</v>
      </c>
      <c r="B22" s="17">
        <v>39</v>
      </c>
      <c r="C22" s="19"/>
      <c r="D22" s="18"/>
      <c r="E22" s="1"/>
      <c r="F22" s="1"/>
      <c r="G22" s="1"/>
    </row>
    <row r="23" spans="1:7" ht="15.75" x14ac:dyDescent="0.25">
      <c r="A23" s="16"/>
      <c r="B23" s="17"/>
      <c r="C23" s="20"/>
      <c r="D23" s="21"/>
      <c r="E23" s="1">
        <v>10</v>
      </c>
      <c r="F23" s="1">
        <v>2</v>
      </c>
      <c r="G23" s="1"/>
    </row>
    <row r="24" spans="1:7" ht="15.75" x14ac:dyDescent="0.25">
      <c r="A24" s="23" t="s">
        <v>22</v>
      </c>
      <c r="B24" s="24">
        <f>VLOOKUP(A5,Лист11!K:M,2,FALSE)</f>
        <v>157059.04</v>
      </c>
      <c r="C24" s="18"/>
      <c r="D24" s="21"/>
      <c r="E24" s="67">
        <v>18.179999956500001</v>
      </c>
      <c r="F24" s="68">
        <v>20.3506919513061</v>
      </c>
      <c r="G24" s="1"/>
    </row>
    <row r="25" spans="1:7" ht="16.5" thickBot="1" x14ac:dyDescent="0.3">
      <c r="A25" s="23">
        <v>0</v>
      </c>
      <c r="B25" s="24">
        <f>VLOOKUP(A5,Лист11!K:M,3,FALSE)</f>
        <v>156323.91</v>
      </c>
      <c r="C25" s="22"/>
      <c r="D25" s="21"/>
      <c r="E25" s="1"/>
      <c r="F25" s="1"/>
      <c r="G25" s="1"/>
    </row>
    <row r="26" spans="1:7" ht="16.5" hidden="1" thickBot="1" x14ac:dyDescent="0.3">
      <c r="A26" s="23" t="s">
        <v>90</v>
      </c>
      <c r="B26" s="24"/>
      <c r="C26" s="15"/>
      <c r="D26" s="18"/>
      <c r="E26" s="1"/>
      <c r="F26" s="1"/>
      <c r="G26" s="1"/>
    </row>
    <row r="27" spans="1:7" ht="16.5" hidden="1" thickBot="1" x14ac:dyDescent="0.3">
      <c r="A27" s="23" t="s">
        <v>24</v>
      </c>
      <c r="B27" s="24"/>
      <c r="C27" s="19"/>
      <c r="D27" s="18"/>
      <c r="E27" s="1"/>
      <c r="F27" s="1"/>
      <c r="G27" s="1"/>
    </row>
    <row r="28" spans="1:7" ht="16.5" thickBot="1" x14ac:dyDescent="0.3">
      <c r="A28" s="23" t="s">
        <v>25</v>
      </c>
      <c r="B28" s="24">
        <v>1510.2</v>
      </c>
      <c r="C28" s="14"/>
      <c r="D28" s="21"/>
      <c r="E28" s="1"/>
      <c r="F28" s="1"/>
      <c r="G28" s="1"/>
    </row>
    <row r="29" spans="1:7" ht="16.5" hidden="1" thickBot="1" x14ac:dyDescent="0.3">
      <c r="A29" s="23" t="s">
        <v>26</v>
      </c>
      <c r="B29" s="24"/>
      <c r="C29" s="25"/>
      <c r="D29" s="18"/>
      <c r="E29" s="1"/>
      <c r="F29" s="1"/>
      <c r="G29" s="1"/>
    </row>
    <row r="30" spans="1:7" ht="15.75" x14ac:dyDescent="0.25">
      <c r="A30" s="26"/>
      <c r="B30" s="17"/>
      <c r="C30" s="20"/>
      <c r="D30" s="21"/>
      <c r="E30" s="1"/>
      <c r="F30" s="1"/>
      <c r="G30" s="1"/>
    </row>
    <row r="31" spans="1:7" ht="15.75" x14ac:dyDescent="0.25">
      <c r="A31" s="27" t="s">
        <v>27</v>
      </c>
      <c r="B31" s="17"/>
      <c r="C31" s="18"/>
      <c r="D31" s="21"/>
      <c r="E31" s="1"/>
      <c r="F31" s="1"/>
      <c r="G31" s="1"/>
    </row>
    <row r="32" spans="1:7" s="31" customFormat="1" ht="31.5" x14ac:dyDescent="0.25">
      <c r="A32" s="28" t="s">
        <v>28</v>
      </c>
      <c r="B32" s="29">
        <f>SUM(B33:B41)</f>
        <v>43278.889467140798</v>
      </c>
      <c r="C32" s="18"/>
      <c r="D32" s="21"/>
      <c r="E32" s="30">
        <f>(B86-B26-B24)/1.2/1.03</f>
        <v>109615.32824193763</v>
      </c>
      <c r="F32" s="30" t="e">
        <f>(#REF!-#REF!-#REF!)/1.2/1.03</f>
        <v>#REF!</v>
      </c>
      <c r="G32" s="30" t="e">
        <f>(#REF!-#REF!-#REF!)/1.2/1.03</f>
        <v>#REF!</v>
      </c>
    </row>
    <row r="33" spans="1:7" ht="16.5" thickBot="1" x14ac:dyDescent="0.3">
      <c r="A33" s="32" t="s">
        <v>29</v>
      </c>
      <c r="B33" s="17">
        <f>10331.91*1.1194*1.0952</f>
        <v>12666.579467140798</v>
      </c>
      <c r="C33" s="22"/>
      <c r="D33" s="21">
        <v>7685.71</v>
      </c>
      <c r="E33" s="1"/>
      <c r="F33" s="1"/>
      <c r="G33" s="1"/>
    </row>
    <row r="34" spans="1:7" ht="15.75" hidden="1" x14ac:dyDescent="0.25">
      <c r="A34" s="32" t="s">
        <v>33</v>
      </c>
      <c r="B34" s="17"/>
      <c r="C34" s="15"/>
      <c r="D34" s="18">
        <v>0</v>
      </c>
      <c r="E34" s="1"/>
      <c r="F34" s="1"/>
      <c r="G34" s="1"/>
    </row>
    <row r="35" spans="1:7" ht="15.75" x14ac:dyDescent="0.25">
      <c r="A35" s="32" t="s">
        <v>31</v>
      </c>
      <c r="B35" s="17">
        <v>13620.2</v>
      </c>
      <c r="C35" s="21"/>
      <c r="D35" s="18">
        <v>0</v>
      </c>
      <c r="E35" s="1"/>
      <c r="F35" s="1"/>
      <c r="G35" s="1"/>
    </row>
    <row r="36" spans="1:7" ht="15.75" x14ac:dyDescent="0.25">
      <c r="A36" s="32" t="s">
        <v>32</v>
      </c>
      <c r="B36" s="17">
        <v>1657.44</v>
      </c>
      <c r="C36" s="21" t="s">
        <v>11</v>
      </c>
      <c r="D36" s="18">
        <v>0</v>
      </c>
      <c r="E36" s="1"/>
      <c r="F36" s="1"/>
      <c r="G36" s="1"/>
    </row>
    <row r="37" spans="1:7" ht="15.75" hidden="1" x14ac:dyDescent="0.25">
      <c r="A37" s="32" t="s">
        <v>33</v>
      </c>
      <c r="B37" s="17">
        <v>0</v>
      </c>
      <c r="C37" s="21"/>
      <c r="D37" s="18">
        <v>0</v>
      </c>
      <c r="E37" s="1"/>
      <c r="F37" s="1"/>
      <c r="G37" s="1"/>
    </row>
    <row r="38" spans="1:7" ht="16.5" thickBot="1" x14ac:dyDescent="0.3">
      <c r="A38" s="32" t="s">
        <v>30</v>
      </c>
      <c r="B38" s="17">
        <v>15334.670000000002</v>
      </c>
      <c r="C38" s="21"/>
      <c r="D38" s="18">
        <v>0</v>
      </c>
      <c r="E38" s="1"/>
      <c r="F38" s="1"/>
      <c r="G38" s="1"/>
    </row>
    <row r="39" spans="1:7" ht="32.25" hidden="1" thickBot="1" x14ac:dyDescent="0.3">
      <c r="A39" s="32" t="s">
        <v>35</v>
      </c>
      <c r="B39" s="17">
        <v>0</v>
      </c>
      <c r="C39" s="21"/>
      <c r="D39" s="18">
        <v>0</v>
      </c>
      <c r="E39" s="1"/>
      <c r="F39" s="1"/>
      <c r="G39" s="1"/>
    </row>
    <row r="40" spans="1:7" ht="16.5" hidden="1" thickBot="1" x14ac:dyDescent="0.3">
      <c r="A40" s="32" t="s">
        <v>92</v>
      </c>
      <c r="B40" s="17">
        <v>0</v>
      </c>
      <c r="C40" s="21"/>
      <c r="D40" s="18"/>
      <c r="E40" s="1"/>
      <c r="F40" s="1"/>
      <c r="G40" s="1"/>
    </row>
    <row r="41" spans="1:7" ht="16.5" hidden="1" thickBot="1" x14ac:dyDescent="0.3">
      <c r="A41" s="32" t="s">
        <v>32</v>
      </c>
      <c r="B41" s="17"/>
      <c r="C41" s="19"/>
      <c r="D41" s="18"/>
      <c r="E41" s="1"/>
      <c r="F41" s="1"/>
      <c r="G41" s="1"/>
    </row>
    <row r="42" spans="1:7" s="31" customFormat="1" ht="48" thickBot="1" x14ac:dyDescent="0.3">
      <c r="A42" s="28" t="s">
        <v>37</v>
      </c>
      <c r="B42" s="29">
        <f>SUM(B43:B45)</f>
        <v>99470.119106272425</v>
      </c>
      <c r="C42" s="14"/>
      <c r="D42" s="21"/>
      <c r="E42" s="30"/>
      <c r="F42" s="30"/>
      <c r="G42" s="30"/>
    </row>
    <row r="43" spans="1:7" ht="15.75" hidden="1" x14ac:dyDescent="0.25">
      <c r="A43" s="32" t="s">
        <v>38</v>
      </c>
      <c r="B43" s="17"/>
      <c r="C43" s="25"/>
      <c r="D43" s="34"/>
      <c r="E43" s="1"/>
      <c r="F43" s="1"/>
      <c r="G43" s="1"/>
    </row>
    <row r="44" spans="1:7" ht="15.75" x14ac:dyDescent="0.25">
      <c r="A44" s="32" t="s">
        <v>39</v>
      </c>
      <c r="B44" s="17">
        <v>95765.06</v>
      </c>
      <c r="C44" s="19"/>
      <c r="D44" s="34"/>
      <c r="E44" s="1"/>
      <c r="F44" s="1"/>
      <c r="G44" s="1"/>
    </row>
    <row r="45" spans="1:7" ht="16.5" thickBot="1" x14ac:dyDescent="0.3">
      <c r="A45" s="35" t="s">
        <v>40</v>
      </c>
      <c r="B45" s="17">
        <f>'[1]34тарифы'!D163*B15+302.03*1.0952</f>
        <v>3705.0591062724243</v>
      </c>
      <c r="C45" s="19"/>
      <c r="D45" s="34"/>
      <c r="E45" s="1"/>
      <c r="F45" s="1"/>
      <c r="G45" s="1"/>
    </row>
    <row r="46" spans="1:7" s="4" customFormat="1" ht="16.5" thickBot="1" x14ac:dyDescent="0.3">
      <c r="A46" s="28" t="s">
        <v>41</v>
      </c>
      <c r="B46" s="29">
        <f>SUM(B47:B65)</f>
        <v>5515.1591257055998</v>
      </c>
      <c r="C46" s="14"/>
      <c r="D46" s="21"/>
    </row>
    <row r="47" spans="1:7" ht="15.75" hidden="1" x14ac:dyDescent="0.25">
      <c r="A47" s="32" t="s">
        <v>42</v>
      </c>
      <c r="B47" s="17">
        <v>0</v>
      </c>
      <c r="C47" s="15"/>
      <c r="D47" s="18"/>
      <c r="E47" s="1" t="s">
        <v>43</v>
      </c>
      <c r="F47" s="1"/>
      <c r="G47" s="1"/>
    </row>
    <row r="48" spans="1:7" ht="15.75" x14ac:dyDescent="0.25">
      <c r="A48" s="32" t="s">
        <v>44</v>
      </c>
      <c r="B48" s="17">
        <f>1347.9*1.1194*1.0952</f>
        <v>1652.4807575519999</v>
      </c>
      <c r="C48" s="21"/>
      <c r="D48" s="18"/>
      <c r="E48" s="1" t="s">
        <v>45</v>
      </c>
      <c r="F48" s="1"/>
      <c r="G48" s="1"/>
    </row>
    <row r="49" spans="1:5" ht="15.75" hidden="1" x14ac:dyDescent="0.25">
      <c r="A49" s="36" t="s">
        <v>46</v>
      </c>
      <c r="B49" s="17"/>
      <c r="C49" s="21"/>
      <c r="D49" s="18"/>
      <c r="E49" s="1"/>
    </row>
    <row r="50" spans="1:5" ht="15.75" hidden="1" x14ac:dyDescent="0.25">
      <c r="A50" s="36" t="s">
        <v>47</v>
      </c>
      <c r="B50" s="17">
        <v>0</v>
      </c>
      <c r="C50" s="21"/>
      <c r="D50" s="18">
        <v>4190</v>
      </c>
      <c r="E50" s="1"/>
    </row>
    <row r="51" spans="1:5" ht="15.75" hidden="1" x14ac:dyDescent="0.25">
      <c r="A51" s="36" t="s">
        <v>93</v>
      </c>
      <c r="B51" s="17">
        <v>0</v>
      </c>
      <c r="C51" s="21"/>
      <c r="D51" s="18"/>
      <c r="E51" s="1"/>
    </row>
    <row r="52" spans="1:5" ht="15.75" hidden="1" x14ac:dyDescent="0.25">
      <c r="A52" s="36" t="s">
        <v>49</v>
      </c>
      <c r="B52" s="17">
        <f>B21*'[1]34тарифы'!D177</f>
        <v>0</v>
      </c>
      <c r="C52" s="21"/>
      <c r="D52" s="18">
        <v>105.14</v>
      </c>
      <c r="E52" s="1"/>
    </row>
    <row r="53" spans="1:5" ht="15.75" hidden="1" x14ac:dyDescent="0.25">
      <c r="A53" s="36" t="s">
        <v>50</v>
      </c>
      <c r="B53" s="17">
        <v>0</v>
      </c>
      <c r="C53" s="21">
        <v>0</v>
      </c>
      <c r="D53" s="18">
        <v>522.99</v>
      </c>
      <c r="E53" s="1"/>
    </row>
    <row r="54" spans="1:5" ht="15.75" hidden="1" x14ac:dyDescent="0.25">
      <c r="A54" s="36" t="s">
        <v>51</v>
      </c>
      <c r="B54" s="17">
        <v>0</v>
      </c>
      <c r="C54" s="21">
        <v>0</v>
      </c>
      <c r="D54" s="37">
        <v>695.13</v>
      </c>
      <c r="E54" s="1"/>
    </row>
    <row r="55" spans="1:5" ht="15.75" hidden="1" x14ac:dyDescent="0.25">
      <c r="A55" s="36" t="s">
        <v>52</v>
      </c>
      <c r="B55" s="17">
        <v>0</v>
      </c>
      <c r="C55" s="21"/>
      <c r="D55" s="37"/>
      <c r="E55" s="1"/>
    </row>
    <row r="56" spans="1:5" ht="15.75" hidden="1" x14ac:dyDescent="0.25">
      <c r="A56" s="36" t="s">
        <v>53</v>
      </c>
      <c r="B56" s="17">
        <v>0</v>
      </c>
      <c r="C56" s="21">
        <v>0</v>
      </c>
      <c r="D56" s="18">
        <f>10695.76/1.18</f>
        <v>9064.203389830509</v>
      </c>
      <c r="E56" s="1"/>
    </row>
    <row r="57" spans="1:5" ht="15.75" x14ac:dyDescent="0.25">
      <c r="A57" s="36" t="s">
        <v>95</v>
      </c>
      <c r="B57" s="17">
        <f>265.92*1.1194*3*1.0952</f>
        <v>978.02733818879983</v>
      </c>
      <c r="C57" s="21">
        <v>0</v>
      </c>
      <c r="D57" s="18">
        <f>2300/1.18</f>
        <v>1949.1525423728815</v>
      </c>
      <c r="E57" s="1"/>
    </row>
    <row r="58" spans="1:5" ht="16.5" thickBot="1" x14ac:dyDescent="0.3">
      <c r="A58" s="36" t="s">
        <v>96</v>
      </c>
      <c r="B58" s="17">
        <f>784.32*1.1194*3*1.0952</f>
        <v>2884.6510299647998</v>
      </c>
      <c r="C58" s="19">
        <v>0</v>
      </c>
      <c r="D58" s="18">
        <v>0</v>
      </c>
      <c r="E58" s="1"/>
    </row>
    <row r="59" spans="1:5" ht="16.5" hidden="1" thickBot="1" x14ac:dyDescent="0.3">
      <c r="A59" s="36" t="s">
        <v>56</v>
      </c>
      <c r="B59" s="17">
        <v>0</v>
      </c>
      <c r="C59" s="14"/>
      <c r="D59" s="21"/>
      <c r="E59" s="1"/>
    </row>
    <row r="60" spans="1:5" ht="16.5" hidden="1" thickBot="1" x14ac:dyDescent="0.3">
      <c r="A60" s="32" t="s">
        <v>57</v>
      </c>
      <c r="B60" s="17">
        <v>0</v>
      </c>
      <c r="C60" s="15"/>
      <c r="D60" s="18"/>
      <c r="E60" s="1"/>
    </row>
    <row r="61" spans="1:5" ht="16.5" hidden="1" thickBot="1" x14ac:dyDescent="0.3">
      <c r="A61" s="32" t="s">
        <v>58</v>
      </c>
      <c r="B61" s="17">
        <v>0</v>
      </c>
      <c r="C61" s="21"/>
      <c r="D61" s="18">
        <v>0</v>
      </c>
      <c r="E61" s="1"/>
    </row>
    <row r="62" spans="1:5" ht="16.5" hidden="1" thickBot="1" x14ac:dyDescent="0.3">
      <c r="A62" s="32" t="s">
        <v>94</v>
      </c>
      <c r="B62" s="17">
        <v>0</v>
      </c>
      <c r="C62" s="21"/>
      <c r="D62" s="18">
        <v>0</v>
      </c>
      <c r="E62" s="1"/>
    </row>
    <row r="63" spans="1:5" ht="16.5" hidden="1" thickBot="1" x14ac:dyDescent="0.3">
      <c r="A63" s="32" t="s">
        <v>60</v>
      </c>
      <c r="B63" s="38">
        <v>0</v>
      </c>
      <c r="C63" s="39">
        <v>1</v>
      </c>
      <c r="D63" s="18">
        <v>0</v>
      </c>
      <c r="E63" s="1"/>
    </row>
    <row r="64" spans="1:5" ht="16.5" hidden="1" thickBot="1" x14ac:dyDescent="0.3">
      <c r="A64" s="32" t="s">
        <v>61</v>
      </c>
      <c r="B64" s="38">
        <v>0</v>
      </c>
      <c r="C64" s="40">
        <v>12</v>
      </c>
      <c r="D64" s="21">
        <v>1</v>
      </c>
      <c r="E64" s="1">
        <v>1</v>
      </c>
    </row>
    <row r="65" spans="1:4" s="4" customFormat="1" ht="16.5" hidden="1" thickBot="1" x14ac:dyDescent="0.3">
      <c r="A65" s="32" t="s">
        <v>62</v>
      </c>
      <c r="B65" s="38">
        <v>0</v>
      </c>
      <c r="C65" s="41"/>
      <c r="D65" s="34">
        <v>0</v>
      </c>
    </row>
    <row r="66" spans="1:4" s="4" customFormat="1" ht="16.5" thickBot="1" x14ac:dyDescent="0.3">
      <c r="A66" s="42" t="s">
        <v>63</v>
      </c>
      <c r="B66" s="29">
        <f>SUM(B67:B74)</f>
        <v>61444.411738704533</v>
      </c>
      <c r="C66" s="14"/>
      <c r="D66" s="19"/>
    </row>
    <row r="67" spans="1:4" ht="16.5" hidden="1" thickBot="1" x14ac:dyDescent="0.3">
      <c r="A67" s="32" t="s">
        <v>64</v>
      </c>
      <c r="B67" s="17">
        <v>0</v>
      </c>
      <c r="C67" s="25"/>
      <c r="D67" s="34"/>
    </row>
    <row r="68" spans="1:4" ht="16.5" thickBot="1" x14ac:dyDescent="0.3">
      <c r="A68" s="32" t="s">
        <v>65</v>
      </c>
      <c r="B68" s="17">
        <f>33731.76*1.1194*1.0952</f>
        <v>41354.020564108796</v>
      </c>
      <c r="C68" s="14"/>
      <c r="D68" s="19"/>
    </row>
    <row r="69" spans="1:4" ht="16.5" hidden="1" thickBot="1" x14ac:dyDescent="0.3">
      <c r="A69" s="32" t="s">
        <v>66</v>
      </c>
      <c r="B69" s="17">
        <v>0</v>
      </c>
      <c r="C69" s="25"/>
      <c r="D69" s="34"/>
    </row>
    <row r="70" spans="1:4" ht="16.5" hidden="1" thickBot="1" x14ac:dyDescent="0.3">
      <c r="A70" s="35" t="s">
        <v>67</v>
      </c>
      <c r="B70" s="17">
        <v>0</v>
      </c>
      <c r="C70" s="19"/>
      <c r="D70" s="34"/>
    </row>
    <row r="71" spans="1:4" ht="15.75" x14ac:dyDescent="0.25">
      <c r="A71" s="35" t="s">
        <v>68</v>
      </c>
      <c r="B71" s="17">
        <f>5.1*B15</f>
        <v>3243.6</v>
      </c>
      <c r="C71" s="43"/>
      <c r="D71" s="19"/>
    </row>
    <row r="72" spans="1:4" ht="15.75" x14ac:dyDescent="0.25">
      <c r="A72" s="35" t="s">
        <v>69</v>
      </c>
      <c r="B72" s="17">
        <f>17.07*B15</f>
        <v>10856.52</v>
      </c>
      <c r="C72" s="34"/>
      <c r="D72" s="19"/>
    </row>
    <row r="73" spans="1:4" ht="15.75" x14ac:dyDescent="0.25">
      <c r="A73" s="44" t="s">
        <v>70</v>
      </c>
      <c r="B73" s="17">
        <f>'[1]34тарифы'!D186*B15*1.1194*1.0952</f>
        <v>709.76803353525577</v>
      </c>
      <c r="C73" s="34"/>
      <c r="D73" s="19"/>
    </row>
    <row r="74" spans="1:4" ht="15.75" x14ac:dyDescent="0.25">
      <c r="A74" s="35" t="s">
        <v>71</v>
      </c>
      <c r="B74" s="17">
        <f>(('[1]34тарифы'!D167*B15)+('[1]34тарифы'!D187*B15))*1.1194*1.0952</f>
        <v>5280.503141060487</v>
      </c>
      <c r="C74" s="34"/>
      <c r="D74" s="19"/>
    </row>
    <row r="75" spans="1:4" ht="63" x14ac:dyDescent="0.25">
      <c r="A75" s="45" t="s">
        <v>72</v>
      </c>
      <c r="B75" s="29">
        <f>SUM(B76:B76)</f>
        <v>23692.439736042867</v>
      </c>
      <c r="C75" s="34"/>
      <c r="D75" s="19"/>
    </row>
    <row r="76" spans="1:4" ht="15.75" x14ac:dyDescent="0.25">
      <c r="A76" s="35" t="s">
        <v>73</v>
      </c>
      <c r="B76" s="17">
        <f>'[1]34ОЭР'!D47*1.1194*1.0952</f>
        <v>23692.439736042867</v>
      </c>
      <c r="C76" s="34"/>
      <c r="D76" s="19"/>
    </row>
    <row r="77" spans="1:4" s="4" customFormat="1" ht="32.25" thickBot="1" x14ac:dyDescent="0.3">
      <c r="A77" s="42" t="s">
        <v>74</v>
      </c>
      <c r="B77" s="29">
        <f>SUM(B78:B81)</f>
        <v>3284.7297800455526</v>
      </c>
      <c r="C77" s="34"/>
      <c r="D77" s="19"/>
    </row>
    <row r="78" spans="1:4" ht="32.25" hidden="1" thickBot="1" x14ac:dyDescent="0.3">
      <c r="A78" s="46" t="s">
        <v>75</v>
      </c>
      <c r="B78" s="17"/>
      <c r="C78" s="22"/>
      <c r="D78" s="19"/>
    </row>
    <row r="79" spans="1:4" ht="16.5" hidden="1" thickBot="1" x14ac:dyDescent="0.3">
      <c r="A79" s="47" t="s">
        <v>76</v>
      </c>
      <c r="B79" s="17">
        <f>(B26/1.2)*30%</f>
        <v>0</v>
      </c>
      <c r="C79" s="25"/>
      <c r="D79" s="34"/>
    </row>
    <row r="80" spans="1:4" ht="15.75" x14ac:dyDescent="0.25">
      <c r="A80" s="48" t="s">
        <v>77</v>
      </c>
      <c r="B80" s="17">
        <v>1754.4</v>
      </c>
      <c r="C80" s="43"/>
      <c r="D80" s="19"/>
    </row>
    <row r="81" spans="1:4" ht="15.75" x14ac:dyDescent="0.25">
      <c r="A81" s="48" t="s">
        <v>78</v>
      </c>
      <c r="B81" s="17">
        <f>'[1]34тарифы'!D173*B13*1.1194*1.0952</f>
        <v>1530.3297800455528</v>
      </c>
      <c r="C81" s="34"/>
      <c r="D81" s="19"/>
    </row>
    <row r="82" spans="1:4" ht="15.75" x14ac:dyDescent="0.25">
      <c r="A82" s="49" t="s">
        <v>79</v>
      </c>
      <c r="B82" s="24">
        <f>B32+B42+B46+B66+B75+B77</f>
        <v>236685.74895391177</v>
      </c>
      <c r="C82" s="34"/>
      <c r="D82" s="19"/>
    </row>
    <row r="83" spans="1:4" ht="15.75" x14ac:dyDescent="0.25">
      <c r="A83" s="50" t="s">
        <v>80</v>
      </c>
      <c r="B83" s="17">
        <f>B82*0.03</f>
        <v>7100.5724686173526</v>
      </c>
      <c r="C83" s="34"/>
      <c r="D83" s="19"/>
    </row>
    <row r="84" spans="1:4" s="31" customFormat="1" ht="15.75" x14ac:dyDescent="0.25">
      <c r="A84" s="51" t="s">
        <v>81</v>
      </c>
      <c r="B84" s="29">
        <f>B82+B83</f>
        <v>243786.32142252912</v>
      </c>
      <c r="C84" s="34"/>
      <c r="D84" s="19"/>
    </row>
    <row r="85" spans="1:4" ht="16.5" thickBot="1" x14ac:dyDescent="0.3">
      <c r="A85" s="52" t="s">
        <v>82</v>
      </c>
      <c r="B85" s="53">
        <f>B84*0.2</f>
        <v>48757.264284505829</v>
      </c>
      <c r="C85" s="34"/>
      <c r="D85" s="19"/>
    </row>
    <row r="86" spans="1:4" s="4" customFormat="1" ht="16.5" thickBot="1" x14ac:dyDescent="0.3">
      <c r="A86" s="54" t="s">
        <v>83</v>
      </c>
      <c r="B86" s="55">
        <f>B84+B85</f>
        <v>292543.58570703492</v>
      </c>
      <c r="C86" s="14"/>
      <c r="D86" s="56"/>
    </row>
    <row r="87" spans="1:4" s="4" customFormat="1" ht="16.5" thickBot="1" x14ac:dyDescent="0.3">
      <c r="A87" s="57" t="s">
        <v>84</v>
      </c>
      <c r="B87" s="55">
        <f>B10+B24+B26+B28+B29-B86</f>
        <v>-665096.67342563509</v>
      </c>
      <c r="C87" s="58"/>
      <c r="D87" s="59"/>
    </row>
    <row r="88" spans="1:4" s="4" customFormat="1" ht="16.5" hidden="1" thickBot="1" x14ac:dyDescent="0.3">
      <c r="A88" s="60" t="s">
        <v>85</v>
      </c>
      <c r="B88" s="55"/>
      <c r="C88" s="61"/>
      <c r="D88" s="59"/>
    </row>
    <row r="89" spans="1:4" s="4" customFormat="1" ht="16.5" hidden="1" thickBot="1" x14ac:dyDescent="0.3">
      <c r="A89" s="62" t="s">
        <v>86</v>
      </c>
      <c r="B89" s="55"/>
      <c r="C89" s="59"/>
      <c r="D89" s="59"/>
    </row>
    <row r="90" spans="1:4" s="4" customFormat="1" ht="15.75" x14ac:dyDescent="0.25">
      <c r="A90" s="63"/>
      <c r="B90" s="64"/>
      <c r="C90" s="59"/>
      <c r="D90" s="59"/>
    </row>
    <row r="91" spans="1:4" ht="15.75" x14ac:dyDescent="0.25">
      <c r="A91" s="127"/>
      <c r="B91" s="65"/>
      <c r="C91" s="1"/>
      <c r="D91" s="1"/>
    </row>
    <row r="92" spans="1:4" ht="15.75" x14ac:dyDescent="0.25">
      <c r="A92" s="192" t="s">
        <v>413</v>
      </c>
      <c r="B92" s="192"/>
      <c r="C92" s="1"/>
      <c r="D92" s="1"/>
    </row>
    <row r="93" spans="1:4" ht="15.75" x14ac:dyDescent="0.25">
      <c r="A93" s="127"/>
      <c r="B93" s="65"/>
      <c r="C93" s="1"/>
      <c r="D93" s="1"/>
    </row>
    <row r="94" spans="1:4" ht="15.75" hidden="1" x14ac:dyDescent="0.25">
      <c r="A94" s="194" t="s">
        <v>87</v>
      </c>
      <c r="B94" s="194"/>
      <c r="C94" s="66"/>
      <c r="D94" s="1"/>
    </row>
    <row r="95" spans="1:4" ht="15.75" x14ac:dyDescent="0.25">
      <c r="A95" s="1"/>
      <c r="B95" s="65"/>
      <c r="C95" s="1"/>
      <c r="D95" s="1"/>
    </row>
  </sheetData>
  <autoFilter ref="A31:G89" xr:uid="{00000000-0009-0000-0000-000008000000}">
    <filterColumn colId="1">
      <filters>
        <filter val="1 530,33"/>
        <filter val="1 652,48"/>
        <filter val="1 657,44"/>
        <filter val="1 754,40"/>
        <filter val="10 856,52"/>
        <filter val="12 666,58"/>
        <filter val="13 620,20"/>
        <filter val="15 334,67"/>
        <filter val="2 884,65"/>
        <filter val="23 692,44"/>
        <filter val="236 685,75"/>
        <filter val="243 786,32"/>
        <filter val="292 543,59"/>
        <filter val="3 243,60"/>
        <filter val="3 284,73"/>
        <filter val="3 705,06"/>
        <filter val="41 354,02"/>
        <filter val="43 278,89"/>
        <filter val="48 757,26"/>
        <filter val="5 280,50"/>
        <filter val="5 515,16"/>
        <filter val="61 444,41"/>
        <filter val="-665 096,67"/>
        <filter val="7 100,57"/>
        <filter val="709,77"/>
        <filter val="95 765,06"/>
        <filter val="978,03"/>
        <filter val="99 470,12"/>
      </filters>
    </filterColumn>
  </autoFilter>
  <mergeCells count="9">
    <mergeCell ref="D8:D9"/>
    <mergeCell ref="A92:B92"/>
    <mergeCell ref="A94:B94"/>
    <mergeCell ref="A1:B1"/>
    <mergeCell ref="A2:B2"/>
    <mergeCell ref="A3:B3"/>
    <mergeCell ref="A8:A9"/>
    <mergeCell ref="B8:B9"/>
    <mergeCell ref="C8:C9"/>
  </mergeCells>
  <pageMargins left="0.59055118110236227" right="0.59055118110236227" top="0.39370078740157483" bottom="0.15748031496062992" header="0.31496062992125984" footer="0.31496062992125984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38</vt:i4>
      </vt:variant>
      <vt:variant>
        <vt:lpstr>Именованные диапазоны</vt:lpstr>
      </vt:variant>
      <vt:variant>
        <vt:i4>37</vt:i4>
      </vt:variant>
    </vt:vector>
  </HeadingPairs>
  <TitlesOfParts>
    <vt:vector size="75" baseType="lpstr">
      <vt:lpstr>Лист11</vt:lpstr>
      <vt:lpstr>Даг 5</vt:lpstr>
      <vt:lpstr>М.Дж 6</vt:lpstr>
      <vt:lpstr>Центр 28</vt:lpstr>
      <vt:lpstr>Лев 3</vt:lpstr>
      <vt:lpstr>Лев 5</vt:lpstr>
      <vt:lpstr>Лев 8</vt:lpstr>
      <vt:lpstr>Лев 13</vt:lpstr>
      <vt:lpstr>Лев 17</vt:lpstr>
      <vt:lpstr>Лев 41</vt:lpstr>
      <vt:lpstr>Лок 2</vt:lpstr>
      <vt:lpstr>Лок 4</vt:lpstr>
      <vt:lpstr>Лок 6</vt:lpstr>
      <vt:lpstr>Лок 26</vt:lpstr>
      <vt:lpstr>Нов 8</vt:lpstr>
      <vt:lpstr>Пр 12</vt:lpstr>
      <vt:lpstr>Ряд 2</vt:lpstr>
      <vt:lpstr>Ряд 3-1</vt:lpstr>
      <vt:lpstr>Ряд 5-1</vt:lpstr>
      <vt:lpstr>Ряд 7-1</vt:lpstr>
      <vt:lpstr>Тал 2-1</vt:lpstr>
      <vt:lpstr>Тал 3-1</vt:lpstr>
      <vt:lpstr>Тал 3-а</vt:lpstr>
      <vt:lpstr>Ухт 5</vt:lpstr>
      <vt:lpstr>Цен 1</vt:lpstr>
      <vt:lpstr>Центр 2</vt:lpstr>
      <vt:lpstr>Цен 3</vt:lpstr>
      <vt:lpstr>Центр 4</vt:lpstr>
      <vt:lpstr>Центр 4-а</vt:lpstr>
      <vt:lpstr>Центр 8</vt:lpstr>
      <vt:lpstr>Центр 10</vt:lpstr>
      <vt:lpstr>Центр 12</vt:lpstr>
      <vt:lpstr>Центр 14</vt:lpstr>
      <vt:lpstr>Центр 22</vt:lpstr>
      <vt:lpstr>Центр 31-1</vt:lpstr>
      <vt:lpstr>Центр 42</vt:lpstr>
      <vt:lpstr>Центр 44</vt:lpstr>
      <vt:lpstr>Центр 51</vt:lpstr>
      <vt:lpstr>'Даг 5'!Область_печати</vt:lpstr>
      <vt:lpstr>'Лев 13'!Область_печати</vt:lpstr>
      <vt:lpstr>'Лев 17'!Область_печати</vt:lpstr>
      <vt:lpstr>'Лев 3'!Область_печати</vt:lpstr>
      <vt:lpstr>'Лев 41'!Область_печати</vt:lpstr>
      <vt:lpstr>'Лев 5'!Область_печати</vt:lpstr>
      <vt:lpstr>'Лев 8'!Область_печати</vt:lpstr>
      <vt:lpstr>'Лок 2'!Область_печати</vt:lpstr>
      <vt:lpstr>'Лок 26'!Область_печати</vt:lpstr>
      <vt:lpstr>'Лок 4'!Область_печати</vt:lpstr>
      <vt:lpstr>'Лок 6'!Область_печати</vt:lpstr>
      <vt:lpstr>'М.Дж 6'!Область_печати</vt:lpstr>
      <vt:lpstr>'Нов 8'!Область_печати</vt:lpstr>
      <vt:lpstr>'Пр 12'!Область_печати</vt:lpstr>
      <vt:lpstr>'Ряд 2'!Область_печати</vt:lpstr>
      <vt:lpstr>'Ряд 3-1'!Область_печати</vt:lpstr>
      <vt:lpstr>'Ряд 5-1'!Область_печати</vt:lpstr>
      <vt:lpstr>'Ряд 7-1'!Область_печати</vt:lpstr>
      <vt:lpstr>'Тал 2-1'!Область_печати</vt:lpstr>
      <vt:lpstr>'Тал 3-1'!Область_печати</vt:lpstr>
      <vt:lpstr>'Тал 3-а'!Область_печати</vt:lpstr>
      <vt:lpstr>'Ухт 5'!Область_печати</vt:lpstr>
      <vt:lpstr>'Цен 1'!Область_печати</vt:lpstr>
      <vt:lpstr>'Цен 3'!Область_печати</vt:lpstr>
      <vt:lpstr>'Центр 10'!Область_печати</vt:lpstr>
      <vt:lpstr>'Центр 12'!Область_печати</vt:lpstr>
      <vt:lpstr>'Центр 14'!Область_печати</vt:lpstr>
      <vt:lpstr>'Центр 2'!Область_печати</vt:lpstr>
      <vt:lpstr>'Центр 22'!Область_печати</vt:lpstr>
      <vt:lpstr>'Центр 28'!Область_печати</vt:lpstr>
      <vt:lpstr>'Центр 31-1'!Область_печати</vt:lpstr>
      <vt:lpstr>'Центр 4'!Область_печати</vt:lpstr>
      <vt:lpstr>'Центр 42'!Область_печати</vt:lpstr>
      <vt:lpstr>'Центр 44'!Область_печати</vt:lpstr>
      <vt:lpstr>'Центр 4-а'!Область_печати</vt:lpstr>
      <vt:lpstr>'Центр 51'!Область_печати</vt:lpstr>
      <vt:lpstr>'Центр 8'!Область_печати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</dc:creator>
  <cp:lastModifiedBy>Радик Хамзин</cp:lastModifiedBy>
  <cp:lastPrinted>2025-04-16T12:37:07Z</cp:lastPrinted>
  <dcterms:created xsi:type="dcterms:W3CDTF">2025-04-03T10:07:56Z</dcterms:created>
  <dcterms:modified xsi:type="dcterms:W3CDTF">2025-04-16T18:07:19Z</dcterms:modified>
</cp:coreProperties>
</file>